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43.bin" ContentType="application/vnd.openxmlformats-officedocument.oleObject"/>
  <Override PartName="/xl/embeddings/oleObject90.bin" ContentType="application/vnd.openxmlformats-officedocument.oleObject"/>
  <Override PartName="/xl/embeddings/oleObject131.bin" ContentType="application/vnd.openxmlformats-officedocument.oleObject"/>
  <Override PartName="/xl/embeddings/oleObject142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120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embeddings/oleObject88.bin" ContentType="application/vnd.openxmlformats-officedocument.oleObject"/>
  <Override PartName="/xl/embeddings/oleObject99.bin" ContentType="application/vnd.openxmlformats-officedocument.oleObject"/>
  <Override PartName="/xl/embeddings/oleObject169.bin" ContentType="application/vnd.openxmlformats-officedocument.oleObject"/>
  <Override PartName="/xl/embeddings/oleObject187.bin" ContentType="application/vnd.openxmlformats-officedocument.oleObject"/>
  <Override PartName="/xl/externalLinks/externalLink1.xml" ContentType="application/vnd.openxmlformats-officedocument.spreadsheetml.externalLink+xml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77.bin" ContentType="application/vnd.openxmlformats-officedocument.oleObject"/>
  <Override PartName="/xl/embeddings/oleObject95.bin" ContentType="application/vnd.openxmlformats-officedocument.oleObject"/>
  <Override PartName="/xl/embeddings/oleObject129.bin" ContentType="application/vnd.openxmlformats-officedocument.oleObject"/>
  <Override PartName="/xl/embeddings/oleObject147.bin" ContentType="application/vnd.openxmlformats-officedocument.oleObject"/>
  <Override PartName="/xl/embeddings/oleObject158.bin" ContentType="application/vnd.openxmlformats-officedocument.oleObject"/>
  <Override PartName="/xl/embeddings/oleObject176.bin" ContentType="application/vnd.openxmlformats-officedocument.oleObject"/>
  <Override PartName="/xl/embeddings/oleObject194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37.bin" ContentType="application/vnd.openxmlformats-officedocument.oleObject"/>
  <Override PartName="/xl/embeddings/oleObject66.bin" ContentType="application/vnd.openxmlformats-officedocument.oleObject"/>
  <Override PartName="/xl/embeddings/oleObject84.bin" ContentType="application/vnd.openxmlformats-officedocument.oleObject"/>
  <Override PartName="/xl/embeddings/oleObject107.bin" ContentType="application/vnd.openxmlformats-officedocument.oleObject"/>
  <Override PartName="/xl/embeddings/oleObject118.bin" ContentType="application/vnd.openxmlformats-officedocument.oleObject"/>
  <Override PartName="/xl/embeddings/oleObject136.bin" ContentType="application/vnd.openxmlformats-officedocument.oleObject"/>
  <Override PartName="/xl/embeddings/oleObject154.bin" ContentType="application/vnd.openxmlformats-officedocument.oleObject"/>
  <Override PartName="/xl/embeddings/oleObject165.bin" ContentType="application/vnd.openxmlformats-officedocument.oleObject"/>
  <Override PartName="/xl/embeddings/oleObject183.bin" ContentType="application/vnd.openxmlformats-officedocument.oleObject"/>
  <Override PartName="/xl/embeddings/oleObject9.bin" ContentType="application/vnd.openxmlformats-officedocument.oleObject"/>
  <Override PartName="/xl/embeddings/oleObject26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73.bin" ContentType="application/vnd.openxmlformats-officedocument.oleObject"/>
  <Override PartName="/xl/embeddings/oleObject91.bin" ContentType="application/vnd.openxmlformats-officedocument.oleObject"/>
  <Override PartName="/xl/embeddings/oleObject125.bin" ContentType="application/vnd.openxmlformats-officedocument.oleObject"/>
  <Override PartName="/xl/embeddings/oleObject143.bin" ContentType="application/vnd.openxmlformats-officedocument.oleObject"/>
  <Override PartName="/xl/embeddings/oleObject172.bin" ContentType="application/vnd.openxmlformats-officedocument.oleObject"/>
  <Override PartName="/xl/embeddings/oleObject190.bin" ContentType="application/vnd.openxmlformats-officedocument.oleObject"/>
  <Default Extension="bin" ContentType="application/vnd.openxmlformats-officedocument.spreadsheetml.printerSettings"/>
  <Override PartName="/xl/embeddings/oleObject15.bin" ContentType="application/vnd.openxmlformats-officedocument.oleObject"/>
  <Override PartName="/xl/embeddings/oleObject33.bin" ContentType="application/vnd.openxmlformats-officedocument.oleObject"/>
  <Override PartName="/xl/embeddings/oleObject62.bin" ContentType="application/vnd.openxmlformats-officedocument.oleObject"/>
  <Override PartName="/xl/embeddings/oleObject80.bin" ContentType="application/vnd.openxmlformats-officedocument.oleObject"/>
  <Override PartName="/xl/embeddings/oleObject103.bin" ContentType="application/vnd.openxmlformats-officedocument.oleObject"/>
  <Override PartName="/xl/embeddings/oleObject114.bin" ContentType="application/vnd.openxmlformats-officedocument.oleObject"/>
  <Override PartName="/xl/embeddings/oleObject132.bin" ContentType="application/vnd.openxmlformats-officedocument.oleObject"/>
  <Override PartName="/xl/embeddings/oleObject150.bin" ContentType="application/vnd.openxmlformats-officedocument.oleObject"/>
  <Override PartName="/xl/embeddings/oleObject161.bin" ContentType="application/vnd.openxmlformats-officedocument.oleObject"/>
  <Override PartName="/xl/embeddings/oleObject5.bin" ContentType="application/vnd.openxmlformats-officedocument.oleObject"/>
  <Override PartName="/xl/embeddings/oleObject22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110.bin" ContentType="application/vnd.openxmlformats-officedocument.oleObject"/>
  <Override PartName="/xl/embeddings/oleObject121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mbeddings/oleObject89.bin" ContentType="application/vnd.openxmlformats-officedocument.oleObject"/>
  <Override PartName="/xl/embeddings/oleObject159.bin" ContentType="application/vnd.openxmlformats-officedocument.oleObject"/>
  <Override PartName="/xl/embeddings/oleObject177.bin" ContentType="application/vnd.openxmlformats-officedocument.oleObject"/>
  <Override PartName="/xl/embeddings/oleObject188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96.bin" ContentType="application/vnd.openxmlformats-officedocument.oleObject"/>
  <Override PartName="/xl/embeddings/oleObject119.bin" ContentType="application/vnd.openxmlformats-officedocument.oleObject"/>
  <Override PartName="/xl/embeddings/oleObject148.bin" ContentType="application/vnd.openxmlformats-officedocument.oleObject"/>
  <Override PartName="/xl/embeddings/oleObject166.bin" ContentType="application/vnd.openxmlformats-officedocument.oleObject"/>
  <Override PartName="/xl/embeddings/oleObject195.bin" ContentType="application/vnd.openxmlformats-officedocument.oleObject"/>
  <Override PartName="/xl/calcChain.xml" ContentType="application/vnd.openxmlformats-officedocument.spreadsheetml.calcChain+xml"/>
  <Override PartName="/xl/embeddings/oleObject38.bin" ContentType="application/vnd.openxmlformats-officedocument.oleObject"/>
  <Override PartName="/xl/embeddings/oleObject56.bin" ContentType="application/vnd.openxmlformats-officedocument.oleObject"/>
  <Override PartName="/xl/embeddings/oleObject85.bin" ContentType="application/vnd.openxmlformats-officedocument.oleObject"/>
  <Override PartName="/xl/embeddings/oleObject108.bin" ContentType="application/vnd.openxmlformats-officedocument.oleObject"/>
  <Override PartName="/xl/embeddings/oleObject126.bin" ContentType="application/vnd.openxmlformats-officedocument.oleObject"/>
  <Override PartName="/xl/embeddings/oleObject137.bin" ContentType="application/vnd.openxmlformats-officedocument.oleObject"/>
  <Override PartName="/xl/embeddings/oleObject155.bin" ContentType="application/vnd.openxmlformats-officedocument.oleObject"/>
  <Override PartName="/xl/embeddings/oleObject173.bin" ContentType="application/vnd.openxmlformats-officedocument.oleObject"/>
  <Override PartName="/xl/embeddings/oleObject184.bin" ContentType="application/vnd.openxmlformats-officedocument.oleObject"/>
  <Override PartName="/xl/embeddings/oleObject16.bin" ContentType="application/vnd.openxmlformats-officedocument.oleObject"/>
  <Override PartName="/xl/embeddings/oleObject27.bin" ContentType="application/vnd.openxmlformats-officedocument.oleObject"/>
  <Override PartName="/xl/embeddings/oleObject45.bin" ContentType="application/vnd.openxmlformats-officedocument.oleObject"/>
  <Override PartName="/xl/embeddings/oleObject63.bin" ContentType="application/vnd.openxmlformats-officedocument.oleObject"/>
  <Override PartName="/xl/embeddings/oleObject74.bin" ContentType="application/vnd.openxmlformats-officedocument.oleObject"/>
  <Override PartName="/xl/embeddings/oleObject92.bin" ContentType="application/vnd.openxmlformats-officedocument.oleObject"/>
  <Override PartName="/xl/embeddings/oleObject115.bin" ContentType="application/vnd.openxmlformats-officedocument.oleObject"/>
  <Override PartName="/xl/embeddings/oleObject133.bin" ContentType="application/vnd.openxmlformats-officedocument.oleObject"/>
  <Override PartName="/xl/embeddings/oleObject144.bin" ContentType="application/vnd.openxmlformats-officedocument.oleObject"/>
  <Override PartName="/xl/embeddings/oleObject162.bin" ContentType="application/vnd.openxmlformats-officedocument.oleObject"/>
  <Override PartName="/xl/embeddings/oleObject180.bin" ContentType="application/vnd.openxmlformats-officedocument.oleObject"/>
  <Override PartName="/xl/embeddings/oleObject191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embeddings/oleObject104.bin" ContentType="application/vnd.openxmlformats-officedocument.oleObject"/>
  <Override PartName="/xl/embeddings/oleObject122.bin" ContentType="application/vnd.openxmlformats-officedocument.oleObject"/>
  <Override PartName="/xl/embeddings/oleObject151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111.bin" ContentType="application/vnd.openxmlformats-officedocument.oleObject"/>
  <Override PartName="/xl/embeddings/oleObject140.bin" ContentType="application/vnd.openxmlformats-officedocument.oleObject"/>
  <Override PartName="/xl/embeddings/oleObject30.bin" ContentType="application/vnd.openxmlformats-officedocument.oleObject"/>
  <Override PartName="/xl/embeddings/oleObject100.bin" ContentType="application/vnd.openxmlformats-officedocument.oleObject"/>
  <Default Extension="wmf" ContentType="image/x-wmf"/>
  <Default Extension="rels" ContentType="application/vnd.openxmlformats-package.relationships+xml"/>
  <Override PartName="/xl/embeddings/oleObject2.bin" ContentType="application/vnd.openxmlformats-officedocument.oleObject"/>
  <Override PartName="/xl/embeddings/oleObject189.bin" ContentType="application/vnd.openxmlformats-officedocument.oleObject"/>
  <Override PartName="/xl/embeddings/oleObject79.bin" ContentType="application/vnd.openxmlformats-officedocument.oleObject"/>
  <Override PartName="/xl/embeddings/oleObject149.bin" ContentType="application/vnd.openxmlformats-officedocument.oleObject"/>
  <Override PartName="/xl/embeddings/oleObject178.bin" ContentType="application/vnd.openxmlformats-officedocument.oleObject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68.bin" ContentType="application/vnd.openxmlformats-officedocument.oleObject"/>
  <Override PartName="/xl/embeddings/oleObject86.bin" ContentType="application/vnd.openxmlformats-officedocument.oleObject"/>
  <Override PartName="/xl/embeddings/oleObject97.bin" ContentType="application/vnd.openxmlformats-officedocument.oleObject"/>
  <Override PartName="/xl/embeddings/oleObject109.bin" ContentType="application/vnd.openxmlformats-officedocument.oleObject"/>
  <Override PartName="/xl/embeddings/oleObject138.bin" ContentType="application/vnd.openxmlformats-officedocument.oleObject"/>
  <Override PartName="/xl/embeddings/oleObject156.bin" ContentType="application/vnd.openxmlformats-officedocument.oleObject"/>
  <Override PartName="/xl/embeddings/oleObject167.bin" ContentType="application/vnd.openxmlformats-officedocument.oleObject"/>
  <Override PartName="/xl/embeddings/oleObject185.bin" ContentType="application/vnd.openxmlformats-officedocument.oleObject"/>
  <Override PartName="/xl/embeddings/oleObject28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75.bin" ContentType="application/vnd.openxmlformats-officedocument.oleObject"/>
  <Override PartName="/xl/embeddings/oleObject93.bin" ContentType="application/vnd.openxmlformats-officedocument.oleObject"/>
  <Override PartName="/xl/embeddings/oleObject127.bin" ContentType="application/vnd.openxmlformats-officedocument.oleObject"/>
  <Override PartName="/xl/embeddings/oleObject145.bin" ContentType="application/vnd.openxmlformats-officedocument.oleObject"/>
  <Override PartName="/xl/embeddings/oleObject174.bin" ContentType="application/vnd.openxmlformats-officedocument.oleObject"/>
  <Override PartName="/xl/embeddings/oleObject192.bin" ContentType="application/vnd.openxmlformats-officedocument.oleObject"/>
  <Override PartName="/xl/embeddings/oleObject17.bin" ContentType="application/vnd.openxmlformats-officedocument.oleObject"/>
  <Override PartName="/xl/embeddings/oleObject35.bin" ContentType="application/vnd.openxmlformats-officedocument.oleObject"/>
  <Override PartName="/xl/embeddings/oleObject64.bin" ContentType="application/vnd.openxmlformats-officedocument.oleObject"/>
  <Override PartName="/xl/embeddings/oleObject82.bin" ContentType="application/vnd.openxmlformats-officedocument.oleObject"/>
  <Override PartName="/xl/embeddings/oleObject105.bin" ContentType="application/vnd.openxmlformats-officedocument.oleObject"/>
  <Override PartName="/xl/embeddings/oleObject116.bin" ContentType="application/vnd.openxmlformats-officedocument.oleObject"/>
  <Override PartName="/xl/embeddings/oleObject134.bin" ContentType="application/vnd.openxmlformats-officedocument.oleObject"/>
  <Override PartName="/xl/embeddings/oleObject152.bin" ContentType="application/vnd.openxmlformats-officedocument.oleObject"/>
  <Override PartName="/xl/embeddings/oleObject163.bin" ContentType="application/vnd.openxmlformats-officedocument.oleObject"/>
  <Override PartName="/xl/embeddings/oleObject181.bin" ContentType="application/vnd.openxmlformats-officedocument.oleObject"/>
  <Override PartName="/xl/embeddings/oleObject7.bin" ContentType="application/vnd.openxmlformats-officedocument.oleObject"/>
  <Override PartName="/xl/embeddings/oleObject24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71.bin" ContentType="application/vnd.openxmlformats-officedocument.oleObject"/>
  <Override PartName="/xl/embeddings/oleObject123.bin" ContentType="application/vnd.openxmlformats-officedocument.oleObject"/>
  <Override PartName="/xl/embeddings/oleObject141.bin" ContentType="application/vnd.openxmlformats-officedocument.oleObject"/>
  <Override PartName="/xl/embeddings/oleObject170.bin" ContentType="application/vnd.openxmlformats-officedocument.oleObject"/>
  <Override PartName="/xl/embeddings/oleObject13.bin" ContentType="application/vnd.openxmlformats-officedocument.oleObject"/>
  <Override PartName="/xl/embeddings/oleObject31.bin" ContentType="application/vnd.openxmlformats-officedocument.oleObject"/>
  <Override PartName="/xl/embeddings/oleObject60.bin" ContentType="application/vnd.openxmlformats-officedocument.oleObject"/>
  <Override PartName="/xl/embeddings/oleObject101.bin" ContentType="application/vnd.openxmlformats-officedocument.oleObject"/>
  <Override PartName="/xl/embeddings/oleObject112.bin" ContentType="application/vnd.openxmlformats-officedocument.oleObject"/>
  <Override PartName="/xl/embeddings/oleObject130.bin" ContentType="application/vnd.openxmlformats-officedocument.oleObject"/>
  <Override PartName="/xl/embeddings/oleObject3.bin" ContentType="application/vnd.openxmlformats-officedocument.oleObject"/>
  <Override PartName="/xl/embeddings/oleObject20.bin" ContentType="application/vnd.openxmlformats-officedocument.oleObject"/>
  <Override PartName="/xl/embeddings/oleObject179.bin" ContentType="application/vnd.openxmlformats-officedocument.oleObject"/>
  <Override PartName="/xl/worksheets/sheet2.xml" ContentType="application/vnd.openxmlformats-officedocument.spreadsheetml.worksheet+xml"/>
  <Override PartName="/xl/embeddings/oleObject69.bin" ContentType="application/vnd.openxmlformats-officedocument.oleObject"/>
  <Override PartName="/xl/embeddings/oleObject98.bin" ContentType="application/vnd.openxmlformats-officedocument.oleObject"/>
  <Override PartName="/xl/drawings/drawing1.xml" ContentType="application/vnd.openxmlformats-officedocument.drawing+xml"/>
  <Override PartName="/xl/embeddings/oleObject168.bin" ContentType="application/vnd.openxmlformats-officedocument.oleObject"/>
  <Override PartName="/xl/embeddings/oleObject58.bin" ContentType="application/vnd.openxmlformats-officedocument.oleObject"/>
  <Override PartName="/xl/embeddings/oleObject87.bin" ContentType="application/vnd.openxmlformats-officedocument.oleObject"/>
  <Override PartName="/xl/embeddings/oleObject128.bin" ContentType="application/vnd.openxmlformats-officedocument.oleObject"/>
  <Override PartName="/xl/embeddings/oleObject139.bin" ContentType="application/vnd.openxmlformats-officedocument.oleObject"/>
  <Override PartName="/xl/embeddings/oleObject157.bin" ContentType="application/vnd.openxmlformats-officedocument.oleObject"/>
  <Override PartName="/xl/embeddings/oleObject175.bin" ContentType="application/vnd.openxmlformats-officedocument.oleObject"/>
  <Override PartName="/xl/embeddings/oleObject186.bin" ContentType="application/vnd.openxmlformats-officedocument.oleObject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47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94.bin" ContentType="application/vnd.openxmlformats-officedocument.oleObject"/>
  <Override PartName="/xl/embeddings/oleObject117.bin" ContentType="application/vnd.openxmlformats-officedocument.oleObject"/>
  <Override PartName="/xl/embeddings/oleObject146.bin" ContentType="application/vnd.openxmlformats-officedocument.oleObject"/>
  <Override PartName="/xl/embeddings/oleObject164.bin" ContentType="application/vnd.openxmlformats-officedocument.oleObject"/>
  <Override PartName="/xl/embeddings/oleObject193.bin" ContentType="application/vnd.openxmlformats-officedocument.oleObject"/>
  <Override PartName="/xl/embeddings/oleObject25.bin" ContentType="application/vnd.openxmlformats-officedocument.oleObject"/>
  <Override PartName="/xl/embeddings/oleObject36.bin" ContentType="application/vnd.openxmlformats-officedocument.oleObject"/>
  <Override PartName="/xl/embeddings/oleObject54.bin" ContentType="application/vnd.openxmlformats-officedocument.oleObject"/>
  <Override PartName="/xl/embeddings/oleObject72.bin" ContentType="application/vnd.openxmlformats-officedocument.oleObject"/>
  <Override PartName="/xl/embeddings/oleObject83.bin" ContentType="application/vnd.openxmlformats-officedocument.oleObject"/>
  <Override PartName="/xl/embeddings/oleObject106.bin" ContentType="application/vnd.openxmlformats-officedocument.oleObject"/>
  <Override PartName="/xl/embeddings/oleObject124.bin" ContentType="application/vnd.openxmlformats-officedocument.oleObject"/>
  <Override PartName="/xl/embeddings/oleObject135.bin" ContentType="application/vnd.openxmlformats-officedocument.oleObject"/>
  <Override PartName="/xl/embeddings/oleObject153.bin" ContentType="application/vnd.openxmlformats-officedocument.oleObject"/>
  <Override PartName="/xl/embeddings/oleObject171.bin" ContentType="application/vnd.openxmlformats-officedocument.oleObject"/>
  <Override PartName="/xl/embeddings/oleObject182.bin" ContentType="application/vnd.openxmlformats-officedocument.oleObject"/>
  <Override PartName="/xl/embeddings/oleObject14.bin" ContentType="application/vnd.openxmlformats-officedocument.oleObject"/>
  <Override PartName="/xl/embeddings/oleObject61.bin" ContentType="application/vnd.openxmlformats-officedocument.oleObject"/>
  <Override PartName="/xl/embeddings/oleObject113.bin" ContentType="application/vnd.openxmlformats-officedocument.oleObject"/>
  <Override PartName="/xl/embeddings/oleObject160.bin" ContentType="application/vnd.openxmlformats-officedocument.oleObject"/>
  <Override PartName="/xl/embeddings/oleObject50.bin" ContentType="application/vnd.openxmlformats-officedocument.oleObject"/>
  <Override PartName="/xl/embeddings/oleObject102.bin" ContentType="application/vnd.openxmlformats-officedocument.oleObject"/>
  <Override PartName="/xl/embeddings/oleObject4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/>
  </bookViews>
  <sheets>
    <sheet name="ШГН(14,15,16,17,18,19,20,21,22)" sheetId="2" r:id="rId1"/>
    <sheet name="УЭЦН(24,25,26,27)" sheetId="6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E9" i="2"/>
  <c r="B170"/>
  <c r="B280"/>
  <c r="B284" s="1"/>
  <c r="B260"/>
  <c r="B239"/>
  <c r="B236"/>
  <c r="B212"/>
  <c r="B216" s="1"/>
  <c r="K208"/>
  <c r="F208"/>
  <c r="B268" s="1"/>
  <c r="E208"/>
  <c r="A208"/>
  <c r="H207"/>
  <c r="B264" s="1"/>
  <c r="B191"/>
  <c r="B167"/>
  <c r="B148"/>
  <c r="B142"/>
  <c r="B145" s="1"/>
  <c r="K140"/>
  <c r="F140"/>
  <c r="B182" s="1"/>
  <c r="E140"/>
  <c r="A140"/>
  <c r="B152" s="1"/>
  <c r="B156" s="1"/>
  <c r="B160" s="1"/>
  <c r="B164" s="1"/>
  <c r="H139"/>
  <c r="B186" s="1"/>
  <c r="B126"/>
  <c r="B67"/>
  <c r="B51"/>
  <c r="B40"/>
  <c r="B38"/>
  <c r="B35"/>
  <c r="B49" s="1"/>
  <c r="B26"/>
  <c r="B110" s="1"/>
  <c r="C110" s="1"/>
  <c r="E110" s="1"/>
  <c r="F22"/>
  <c r="F21"/>
  <c r="B21"/>
  <c r="B56" s="1"/>
  <c r="E20"/>
  <c r="B73" s="1"/>
  <c r="B77" s="1"/>
  <c r="A20"/>
  <c r="B32" s="1"/>
  <c r="D7"/>
  <c r="B44" l="1"/>
  <c r="D216"/>
  <c r="G216"/>
  <c r="B272"/>
  <c r="B254"/>
  <c r="B220"/>
  <c r="B224" s="1"/>
  <c r="B228" s="1"/>
  <c r="B232" s="1"/>
  <c r="B242" s="1"/>
  <c r="B194"/>
  <c r="B197" s="1"/>
  <c r="B114"/>
  <c r="B66"/>
  <c r="B42"/>
  <c r="B60"/>
  <c r="B101" s="1"/>
  <c r="B62"/>
  <c r="B72"/>
  <c r="B130" s="1"/>
  <c r="B118"/>
  <c r="C239" i="6"/>
  <c r="D230"/>
  <c r="D239" s="1"/>
  <c r="C230"/>
  <c r="D225"/>
  <c r="D218"/>
  <c r="B209"/>
  <c r="D207"/>
  <c r="B202"/>
  <c r="C207" s="1"/>
  <c r="C212" s="1"/>
  <c r="O195"/>
  <c r="O196" s="1"/>
  <c r="N193"/>
  <c r="C243" s="1"/>
  <c r="C192"/>
  <c r="C234" s="1"/>
  <c r="F185"/>
  <c r="F188" s="1"/>
  <c r="E178"/>
  <c r="F174"/>
  <c r="E167"/>
  <c r="D158"/>
  <c r="G148"/>
  <c r="D143"/>
  <c r="D133"/>
  <c r="D144" s="1"/>
  <c r="L131"/>
  <c r="E180" s="1"/>
  <c r="D124"/>
  <c r="E121"/>
  <c r="E124" s="1"/>
  <c r="D121"/>
  <c r="D118"/>
  <c r="C74"/>
  <c r="B56"/>
  <c r="A56"/>
  <c r="D48"/>
  <c r="J69" s="1"/>
  <c r="D74" s="1"/>
  <c r="C44"/>
  <c r="D36"/>
  <c r="D40" s="1"/>
  <c r="F26"/>
  <c r="C22"/>
  <c r="C18"/>
  <c r="C27" s="1"/>
  <c r="C32" s="1"/>
  <c r="C7"/>
  <c r="C12" s="1"/>
  <c r="E12" s="1"/>
  <c r="G3"/>
  <c r="B250" i="2" l="1"/>
  <c r="B246"/>
  <c r="B288"/>
  <c r="B174"/>
  <c r="B178"/>
  <c r="B90"/>
  <c r="B97"/>
  <c r="B105"/>
  <c r="C215" i="6"/>
  <c r="D222"/>
  <c r="C225" s="1"/>
  <c r="D234"/>
  <c r="E188"/>
  <c r="E185"/>
  <c r="G150"/>
  <c r="G153" s="1"/>
  <c r="D157" s="1"/>
  <c r="C36"/>
  <c r="C40" s="1"/>
  <c r="C48" s="1"/>
  <c r="B275" i="2" l="1"/>
  <c r="B201"/>
  <c r="Q131"/>
  <c r="Q132"/>
  <c r="R132"/>
  <c r="R133"/>
  <c r="C251" i="6"/>
  <c r="C253" s="1"/>
  <c r="C218"/>
  <c r="E160"/>
  <c r="E162" s="1"/>
  <c r="E171" s="1"/>
  <c r="E174" s="1"/>
  <c r="E87"/>
  <c r="C94" s="1"/>
  <c r="C79"/>
  <c r="E707" i="2" l="1"/>
  <c r="E711" s="1"/>
  <c r="F702"/>
  <c r="G707" s="1"/>
  <c r="G711" s="1"/>
  <c r="D702"/>
  <c r="C697"/>
  <c r="C702" s="1"/>
  <c r="E702" s="1"/>
  <c r="G691"/>
  <c r="D685"/>
  <c r="C647"/>
  <c r="C650" s="1"/>
  <c r="I613"/>
  <c r="G613"/>
  <c r="E609"/>
  <c r="D609"/>
  <c r="D608"/>
  <c r="F611" s="1"/>
  <c r="E599"/>
  <c r="F613" s="1"/>
  <c r="H613" s="1"/>
  <c r="D596"/>
  <c r="D593"/>
  <c r="G584"/>
  <c r="I603" s="1"/>
  <c r="I617" s="1"/>
  <c r="E584"/>
  <c r="G603" s="1"/>
  <c r="G617" s="1"/>
  <c r="D584"/>
  <c r="F584" s="1"/>
  <c r="D580"/>
  <c r="F580" s="1"/>
  <c r="C572"/>
  <c r="D545"/>
  <c r="C545"/>
  <c r="C544"/>
  <c r="F520"/>
  <c r="H520" s="1"/>
  <c r="E511"/>
  <c r="E547" s="1"/>
  <c r="E498"/>
  <c r="D496"/>
  <c r="C496"/>
  <c r="C495"/>
  <c r="F471"/>
  <c r="H471" s="1"/>
  <c r="D462"/>
  <c r="D459"/>
  <c r="G450"/>
  <c r="G454" s="1"/>
  <c r="I466" s="1"/>
  <c r="I471" s="1"/>
  <c r="I475" s="1"/>
  <c r="E450"/>
  <c r="E454" s="1"/>
  <c r="G466" s="1"/>
  <c r="G471" s="1"/>
  <c r="D450"/>
  <c r="F450" s="1"/>
  <c r="D446"/>
  <c r="F446" s="1"/>
  <c r="C438"/>
  <c r="D407"/>
  <c r="D404"/>
  <c r="G395"/>
  <c r="G399" s="1"/>
  <c r="I411" s="1"/>
  <c r="I415" s="1"/>
  <c r="I419" s="1"/>
  <c r="G423" s="1"/>
  <c r="G427" s="1"/>
  <c r="E395"/>
  <c r="E399" s="1"/>
  <c r="G411" s="1"/>
  <c r="G415" s="1"/>
  <c r="G419" s="1"/>
  <c r="E423" s="1"/>
  <c r="E427" s="1"/>
  <c r="D395"/>
  <c r="F395" s="1"/>
  <c r="D391"/>
  <c r="F391" s="1"/>
  <c r="C383"/>
  <c r="H296"/>
  <c r="D360"/>
  <c r="D351"/>
  <c r="H354"/>
  <c r="F356"/>
  <c r="E354"/>
  <c r="D354"/>
  <c r="C337"/>
  <c r="D340" s="1"/>
  <c r="H326"/>
  <c r="H332" s="1"/>
  <c r="H343" s="1"/>
  <c r="H362" s="1"/>
  <c r="E366" s="1"/>
  <c r="E322"/>
  <c r="C330" s="1"/>
  <c r="F316"/>
  <c r="E316"/>
  <c r="D366" s="1"/>
  <c r="E315"/>
  <c r="E314"/>
  <c r="C348"/>
  <c r="F299"/>
  <c r="E299"/>
  <c r="E303" s="1"/>
  <c r="E307" s="1"/>
  <c r="E356" l="1"/>
  <c r="E500"/>
  <c r="C699"/>
  <c r="F588"/>
  <c r="D588" s="1"/>
  <c r="I629"/>
  <c r="E621"/>
  <c r="E625" s="1"/>
  <c r="I631"/>
  <c r="G621"/>
  <c r="G625" s="1"/>
  <c r="F634"/>
  <c r="H634" s="1"/>
  <c r="H611"/>
  <c r="E588"/>
  <c r="G588"/>
  <c r="F454"/>
  <c r="D454" s="1"/>
  <c r="G475"/>
  <c r="F498"/>
  <c r="I489"/>
  <c r="G479"/>
  <c r="G483" s="1"/>
  <c r="E549"/>
  <c r="G547"/>
  <c r="G498"/>
  <c r="F399"/>
  <c r="D399" s="1"/>
  <c r="C351"/>
  <c r="E311"/>
  <c r="G318" s="1"/>
  <c r="G322"/>
  <c r="F541" l="1"/>
  <c r="H541" s="1"/>
  <c r="E699"/>
  <c r="D707"/>
  <c r="H670"/>
  <c r="F658"/>
  <c r="H658" s="1"/>
  <c r="F654"/>
  <c r="H629"/>
  <c r="F617"/>
  <c r="H617" s="1"/>
  <c r="F603"/>
  <c r="F675"/>
  <c r="H675" s="1"/>
  <c r="G638"/>
  <c r="G642" s="1"/>
  <c r="I654" s="1"/>
  <c r="I658" s="1"/>
  <c r="I634"/>
  <c r="E638"/>
  <c r="E642" s="1"/>
  <c r="G654" s="1"/>
  <c r="G658" s="1"/>
  <c r="G634"/>
  <c r="G504"/>
  <c r="G508" s="1"/>
  <c r="I515" s="1"/>
  <c r="I520" s="1"/>
  <c r="I524" s="1"/>
  <c r="I492"/>
  <c r="H498"/>
  <c r="H536"/>
  <c r="F524"/>
  <c r="H524" s="1"/>
  <c r="F515"/>
  <c r="H487"/>
  <c r="F475"/>
  <c r="H475" s="1"/>
  <c r="F466"/>
  <c r="F492"/>
  <c r="H492" s="1"/>
  <c r="I487"/>
  <c r="E479"/>
  <c r="E483" s="1"/>
  <c r="F419"/>
  <c r="H419" s="1"/>
  <c r="F415"/>
  <c r="H415" s="1"/>
  <c r="F411"/>
  <c r="C360"/>
  <c r="G362" s="1"/>
  <c r="H374" s="1"/>
  <c r="G343"/>
  <c r="H371" s="1"/>
  <c r="G332"/>
  <c r="H368" s="1"/>
  <c r="G326"/>
  <c r="D711" l="1"/>
  <c r="F711" s="1"/>
  <c r="F707"/>
  <c r="E722"/>
  <c r="E719"/>
  <c r="I670"/>
  <c r="E662"/>
  <c r="E666" s="1"/>
  <c r="I672"/>
  <c r="G662"/>
  <c r="G666" s="1"/>
  <c r="D621"/>
  <c r="F621" s="1"/>
  <c r="H603"/>
  <c r="D638"/>
  <c r="F638" s="1"/>
  <c r="H631"/>
  <c r="D662"/>
  <c r="F662" s="1"/>
  <c r="H654"/>
  <c r="D679"/>
  <c r="F679" s="1"/>
  <c r="H672"/>
  <c r="D504"/>
  <c r="F504" s="1"/>
  <c r="H489"/>
  <c r="D528"/>
  <c r="F528" s="1"/>
  <c r="H515"/>
  <c r="D553"/>
  <c r="F553" s="1"/>
  <c r="D562" s="1"/>
  <c r="H538"/>
  <c r="E504"/>
  <c r="E508" s="1"/>
  <c r="G515" s="1"/>
  <c r="G520" s="1"/>
  <c r="G492"/>
  <c r="D479"/>
  <c r="F479" s="1"/>
  <c r="D483" s="1"/>
  <c r="H466"/>
  <c r="I538"/>
  <c r="G528"/>
  <c r="G532" s="1"/>
  <c r="D423"/>
  <c r="F423" s="1"/>
  <c r="D427" s="1"/>
  <c r="H411"/>
  <c r="F666" l="1"/>
  <c r="D666"/>
  <c r="F427"/>
  <c r="F557"/>
  <c r="D557"/>
  <c r="F508"/>
  <c r="D508"/>
  <c r="F625"/>
  <c r="D625"/>
  <c r="F683"/>
  <c r="D683"/>
  <c r="F642"/>
  <c r="D642"/>
  <c r="G679"/>
  <c r="G683" s="1"/>
  <c r="I675"/>
  <c r="E679"/>
  <c r="E683" s="1"/>
  <c r="G675"/>
  <c r="H547"/>
  <c r="G553"/>
  <c r="G557" s="1"/>
  <c r="I541"/>
  <c r="F483"/>
  <c r="F547"/>
  <c r="G524"/>
  <c r="F532"/>
  <c r="D532"/>
  <c r="I536" l="1"/>
  <c r="E528"/>
  <c r="E532" s="1"/>
  <c r="E553" l="1"/>
  <c r="E557" s="1"/>
  <c r="G541"/>
</calcChain>
</file>

<file path=xl/sharedStrings.xml><?xml version="1.0" encoding="utf-8"?>
<sst xmlns="http://schemas.openxmlformats.org/spreadsheetml/2006/main" count="525" uniqueCount="309">
  <si>
    <t>Выбрать и рассчитать на прочность одноступенчатую колонну штанг для СК-6-2,1-2500.</t>
  </si>
  <si>
    <t>Диаметр плунжера Dпл, мм</t>
  </si>
  <si>
    <t>Глубина спуска насоса, м</t>
  </si>
  <si>
    <t>Динамический уровень, м</t>
  </si>
  <si>
    <t>Плотность жидкости, кг/м3</t>
  </si>
  <si>
    <t>Определить производительность и коэффициент подачи ШГНУ по различным формулам и сравнить их.</t>
  </si>
  <si>
    <t>Глубина скважины Н, м</t>
  </si>
  <si>
    <t>Глубина спуска насоса L, м</t>
  </si>
  <si>
    <t>Диаметр насоса Dпл, мм</t>
  </si>
  <si>
    <t>Диаметр НКТ dтр, мм</t>
  </si>
  <si>
    <t>Диаметр штанг dшт, мм</t>
  </si>
  <si>
    <t>Плотность нефти ρн, кг/м3</t>
  </si>
  <si>
    <t>Длина хода точки подвеса штанг Sа, м</t>
  </si>
  <si>
    <t>Число качаний n, мин-1</t>
  </si>
  <si>
    <t>Забойное давление Рзаб, кгс/см2</t>
  </si>
  <si>
    <t>Содержание воды nв</t>
  </si>
  <si>
    <t>Плотность воды принимаем</t>
  </si>
  <si>
    <t>кг/м3</t>
  </si>
  <si>
    <t>Плотность жидкости</t>
  </si>
  <si>
    <t>Расстояние до динамического уровня</t>
  </si>
  <si>
    <t>м</t>
  </si>
  <si>
    <t>кгс/см2</t>
  </si>
  <si>
    <t>H</t>
  </si>
  <si>
    <t>Вес столба жидкости над плунжером, полагая, что Рбуф =</t>
  </si>
  <si>
    <r>
      <t>1.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1"/>
        <color indexed="8"/>
        <rFont val="Times New Roman"/>
        <family val="1"/>
        <charset val="204"/>
      </rPr>
      <t>Определим производительность по теории А. М. Юрчука (формула (4.37)).</t>
    </r>
  </si>
  <si>
    <t>fш=</t>
  </si>
  <si>
    <t>м2</t>
  </si>
  <si>
    <t>fт=</t>
  </si>
  <si>
    <t>F=</t>
  </si>
  <si>
    <t>м3/сут</t>
  </si>
  <si>
    <r>
      <t>2.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1"/>
        <color indexed="8"/>
        <rFont val="Times New Roman"/>
        <family val="1"/>
        <charset val="204"/>
      </rPr>
      <t>Производительность по формуле (4.39) А. Н. Адонина</t>
    </r>
  </si>
  <si>
    <r>
      <t>3.</t>
    </r>
    <r>
      <rPr>
        <sz val="7"/>
        <color indexed="8"/>
        <rFont val="Times New Roman"/>
        <family val="1"/>
        <charset val="204"/>
      </rPr>
      <t xml:space="preserve">      </t>
    </r>
    <r>
      <rPr>
        <sz val="11"/>
        <color indexed="8"/>
        <rFont val="Times New Roman"/>
        <family val="1"/>
        <charset val="204"/>
      </rPr>
      <t>Производительность по формуле (4.40) А. С. Вирновcкого</t>
    </r>
  </si>
  <si>
    <t>или</t>
  </si>
  <si>
    <t>град</t>
  </si>
  <si>
    <t xml:space="preserve">4. Определим производительность по формуле (4.41) при условии, что h = </t>
  </si>
  <si>
    <t xml:space="preserve"> с-1:</t>
  </si>
  <si>
    <t xml:space="preserve">5. Определим производительность с учетом формулы (4.42), полагая, что сила сопротивления движению плунжера Рc = </t>
  </si>
  <si>
    <t xml:space="preserve"> кН.</t>
  </si>
  <si>
    <t>Толщина стенки</t>
  </si>
  <si>
    <t>мм</t>
  </si>
  <si>
    <t>Внутренний диаметр НКТ</t>
  </si>
  <si>
    <r>
      <rPr>
        <b/>
        <sz val="14"/>
        <color indexed="8"/>
        <rFont val="Calibri"/>
        <family val="2"/>
        <charset val="204"/>
      </rPr>
      <t>λ</t>
    </r>
    <r>
      <rPr>
        <b/>
        <sz val="14"/>
        <color indexed="8"/>
        <rFont val="Times New Roman"/>
        <family val="1"/>
        <charset val="204"/>
      </rPr>
      <t>=</t>
    </r>
  </si>
  <si>
    <t>6. Определим коэффициент подачи:</t>
  </si>
  <si>
    <t>Коэффициент подачи по формуле (4.44)</t>
  </si>
  <si>
    <t>c учетом вязкости жидкости</t>
  </si>
  <si>
    <t>с учетом силы сопротивления</t>
  </si>
  <si>
    <t xml:space="preserve">     m = </t>
  </si>
  <si>
    <t xml:space="preserve">Для  Dпл =      </t>
  </si>
  <si>
    <t>Буферное давление Рб, Мпа</t>
  </si>
  <si>
    <t>Диаметр штанг dш, мм</t>
  </si>
  <si>
    <t>Определим параметр Коши:</t>
  </si>
  <si>
    <r>
      <rPr>
        <sz val="12"/>
        <color indexed="8"/>
        <rFont val="Calibri"/>
        <family val="2"/>
        <charset val="204"/>
      </rPr>
      <t>ω</t>
    </r>
    <r>
      <rPr>
        <sz val="8.4"/>
        <color indexed="8"/>
        <rFont val="Times New Roman"/>
        <family val="1"/>
        <charset val="204"/>
      </rPr>
      <t>=</t>
    </r>
  </si>
  <si>
    <t>c-1</t>
  </si>
  <si>
    <t xml:space="preserve">Определим перепад давления над плунжером из формулы </t>
  </si>
  <si>
    <t>Полагаем, что гидравлическое сопротивление    движению жидкости в трубах мало, Рг = 0. Найдем статическое давление над плунжером:</t>
  </si>
  <si>
    <t>Па</t>
  </si>
  <si>
    <t>Давление под плунжером</t>
  </si>
  <si>
    <t>МПа</t>
  </si>
  <si>
    <t>Перепад давления над плунжером</t>
  </si>
  <si>
    <t>ΔP=</t>
  </si>
  <si>
    <r>
      <t>Для СК-6-2,1-2500 максимальное число качаний n = 15,  длина хода S</t>
    </r>
    <r>
      <rPr>
        <vertAlign val="subscript"/>
        <sz val="11"/>
        <color indexed="8"/>
        <rFont val="Times New Roman"/>
        <family val="1"/>
        <charset val="204"/>
      </rPr>
      <t>А</t>
    </r>
    <r>
      <rPr>
        <sz val="11"/>
        <color indexed="8"/>
        <rFont val="Times New Roman"/>
        <family val="1"/>
        <charset val="204"/>
      </rPr>
      <t xml:space="preserve"> = 2,1 м.  Кинематический показатель совершенства СК6</t>
    </r>
  </si>
  <si>
    <t>Длинна штока Lш, мм</t>
  </si>
  <si>
    <t>Макс. число качаний, мин-1</t>
  </si>
  <si>
    <t>Длинна хода Sа, м</t>
  </si>
  <si>
    <t xml:space="preserve">Амплитуда напряжения цикла по формуле </t>
  </si>
  <si>
    <t xml:space="preserve">Среднее напряжение в штангах по формуле </t>
  </si>
  <si>
    <t xml:space="preserve">по формуле </t>
  </si>
  <si>
    <t>Максимальное напряжение</t>
  </si>
  <si>
    <t>Приведенное напряжение</t>
  </si>
  <si>
    <r>
      <t xml:space="preserve">Допустимы штанги из ст. 40 нормализованные с поверхностным упрочнением ТВЧ </t>
    </r>
    <r>
      <rPr>
        <sz val="14"/>
        <color indexed="8"/>
        <rFont val="Times New Roman"/>
        <family val="1"/>
        <charset val="204"/>
      </rPr>
      <t>σ</t>
    </r>
    <r>
      <rPr>
        <sz val="11"/>
        <color indexed="8"/>
        <rFont val="Times New Roman"/>
        <family val="1"/>
        <charset val="204"/>
      </rPr>
      <t xml:space="preserve">пр = 120 МПа, </t>
    </r>
    <r>
      <rPr>
        <sz val="14"/>
        <color indexed="8"/>
        <rFont val="Times New Roman"/>
        <family val="1"/>
        <charset val="204"/>
      </rPr>
      <t>σ</t>
    </r>
    <r>
      <rPr>
        <sz val="11"/>
        <color indexed="8"/>
        <rFont val="Times New Roman"/>
        <family val="1"/>
        <charset val="204"/>
      </rPr>
      <t>т = 320МПа.</t>
    </r>
  </si>
  <si>
    <t>По формуле (4.51) найдем</t>
  </si>
  <si>
    <t>Для верхней секции (диаметром 19 мм) по формуле</t>
  </si>
  <si>
    <t xml:space="preserve">Амплитуда напряжения цикла для нижней секции (диаметром 16 мм) по формуле </t>
  </si>
  <si>
    <t>fx1=</t>
  </si>
  <si>
    <t>fx2=</t>
  </si>
  <si>
    <t>Pш1+Pш2=</t>
  </si>
  <si>
    <t>L1=</t>
  </si>
  <si>
    <t>L2=</t>
  </si>
  <si>
    <t>ω=</t>
  </si>
  <si>
    <r>
      <t>Для СК-6-2,1-2500 максимальное число качаний n = 15,  длина хода S</t>
    </r>
    <r>
      <rPr>
        <vertAlign val="subscript"/>
        <sz val="12"/>
        <color indexed="8"/>
        <rFont val="Times New Roman"/>
        <family val="1"/>
        <charset val="204"/>
      </rPr>
      <t>А</t>
    </r>
    <r>
      <rPr>
        <sz val="12"/>
        <color indexed="8"/>
        <rFont val="Times New Roman"/>
        <family val="1"/>
        <charset val="204"/>
      </rPr>
      <t xml:space="preserve"> = 2,1 м.  Кинематический показатель совершенства СК6</t>
    </r>
  </si>
  <si>
    <t xml:space="preserve">Подбором длин штанг можно добиться выравнивания σпр. </t>
  </si>
  <si>
    <t>Запас прочности по σт</t>
  </si>
  <si>
    <t>η=</t>
  </si>
  <si>
    <t>Выбрать режим работы исходя из расчетов на прочность двухступенчатой колонны штанг из стали 40 для СК-6-2,1-2500.</t>
  </si>
  <si>
    <t xml:space="preserve"> с-1 .</t>
  </si>
  <si>
    <r>
      <t>Определим параметр Коши. Для СК6  nmax = 15 мин</t>
    </r>
    <r>
      <rPr>
        <vertAlign val="superscript"/>
        <sz val="12"/>
        <color indexed="8"/>
        <rFont val="Times New Roman"/>
        <family val="1"/>
        <charset val="204"/>
      </rPr>
      <t>-1</t>
    </r>
    <r>
      <rPr>
        <sz val="12"/>
        <color indexed="8"/>
        <rFont val="Times New Roman"/>
        <family val="1"/>
        <charset val="204"/>
      </rPr>
      <t>, ω =</t>
    </r>
  </si>
  <si>
    <t>Выбираем штанги 16 мм длиной L1 и 19 мм длиной L2.</t>
  </si>
  <si>
    <t>кН</t>
  </si>
  <si>
    <r>
      <t xml:space="preserve">Следовательно, штанги должны быть из стали класса 20ХH  </t>
    </r>
    <r>
      <rPr>
        <sz val="14"/>
        <color indexed="8"/>
        <rFont val="Times New Roman"/>
        <family val="1"/>
        <charset val="204"/>
      </rPr>
      <t>σ</t>
    </r>
    <r>
      <rPr>
        <sz val="11"/>
        <color indexed="8"/>
        <rFont val="Times New Roman"/>
        <family val="1"/>
        <charset val="204"/>
      </rPr>
      <t>пр = 90МПа.</t>
    </r>
  </si>
  <si>
    <t xml:space="preserve">Уменьшим число качаний до n = </t>
  </si>
  <si>
    <r>
      <t>мин</t>
    </r>
    <r>
      <rPr>
        <vertAlign val="superscript"/>
        <sz val="11"/>
        <color indexed="8"/>
        <rFont val="Times New Roman"/>
        <family val="1"/>
        <charset val="204"/>
      </rPr>
      <t>-1</t>
    </r>
    <r>
      <rPr>
        <sz val="11"/>
        <color indexed="8"/>
        <rFont val="Times New Roman"/>
        <family val="1"/>
        <charset val="204"/>
      </rPr>
      <t>:</t>
    </r>
  </si>
  <si>
    <t xml:space="preserve">штанги из стали 40,   σпр = 70 МПа. </t>
  </si>
  <si>
    <t xml:space="preserve"> мин-1, то можно использовать штанги из стали 40, σпр = 70 МПа.</t>
  </si>
  <si>
    <t>Допустимы штанги диаметром 16 мм и 19мм из ст. 40 нормализованные с поверхностным упрочнением ТВЧ σпр = 120 МПа, σт = 320МПа.</t>
  </si>
  <si>
    <t>Если ограничить число качаний n &lt;</t>
  </si>
  <si>
    <t>Длинна штанг Lш, мм</t>
  </si>
  <si>
    <t>Выбрать материал для верхней секции колонны штанг, исходя из рассчитанных нагрузок на головку балансира станока-качалки СК-12-2,5-4000.</t>
  </si>
  <si>
    <t>Определим максимальное и минимальное напряжения по формулам (4.7) и (4.8):</t>
  </si>
  <si>
    <t>fш2=</t>
  </si>
  <si>
    <t xml:space="preserve">Максимальная и минимальная нагрузки по теории Вирновского </t>
  </si>
  <si>
    <t xml:space="preserve">Рmax = </t>
  </si>
  <si>
    <t xml:space="preserve">Pmin = </t>
  </si>
  <si>
    <t>Н.</t>
  </si>
  <si>
    <t xml:space="preserve"> Н;  </t>
  </si>
  <si>
    <t>Амплитудное напряжение</t>
  </si>
  <si>
    <r>
      <t xml:space="preserve">По табл. 4.4 выбираем материал верхней секции штанг. Это может быть сталь 20Н2М нормализованная с поверхностным упрочнением ТВЧ ( </t>
    </r>
    <r>
      <rPr>
        <sz val="14"/>
        <color indexed="8"/>
        <rFont val="Times New Roman"/>
        <family val="1"/>
        <charset val="204"/>
      </rPr>
      <t>σ</t>
    </r>
    <r>
      <rPr>
        <sz val="11"/>
        <color indexed="8"/>
        <rFont val="Times New Roman"/>
        <family val="1"/>
        <charset val="204"/>
      </rPr>
      <t xml:space="preserve">пр =110 МПа)  для некоррозионных условий или ст. 40 с такой же обработкой ( </t>
    </r>
    <r>
      <rPr>
        <sz val="14"/>
        <color indexed="8"/>
        <rFont val="Times New Roman"/>
        <family val="1"/>
        <charset val="204"/>
      </rPr>
      <t>σ</t>
    </r>
    <r>
      <rPr>
        <sz val="11"/>
        <color indexed="8"/>
        <rFont val="Times New Roman"/>
        <family val="1"/>
        <charset val="204"/>
      </rPr>
      <t>пр = 120 МПа).</t>
    </r>
  </si>
  <si>
    <t>Запас по пределу текучести составит:</t>
  </si>
  <si>
    <t xml:space="preserve">для стали 20Н2М              </t>
  </si>
  <si>
    <t xml:space="preserve">для стали 40                     </t>
  </si>
  <si>
    <t>Задача 18</t>
  </si>
  <si>
    <t>Задача 19</t>
  </si>
  <si>
    <t>Задача 20</t>
  </si>
  <si>
    <t>Задача 21</t>
  </si>
  <si>
    <t>задача 22</t>
  </si>
  <si>
    <t>наружный диаметр эксплуатационной колонны, мм;</t>
  </si>
  <si>
    <t>глубина скважины, м;</t>
  </si>
  <si>
    <r>
      <t>дебит жидкости Q,м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/сут;</t>
    </r>
  </si>
  <si>
    <t>статический уровень hст, м;</t>
  </si>
  <si>
    <r>
      <t>коэффициент продуктивности скважины К,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/(сут · МПа);</t>
    </r>
  </si>
  <si>
    <t>глубина погружения под динамический уровень h, м;</t>
  </si>
  <si>
    <r>
      <t>кинематическая вязкость жидкости ν, 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>/с;</t>
    </r>
  </si>
  <si>
    <t>превышение уровня жидкости в сепараторе над устьем скважины hг, м;</t>
  </si>
  <si>
    <t>избыточное давление в сепараторе Рс, МПа;</t>
  </si>
  <si>
    <t>расстояние от устья до сепаратора l, м;</t>
  </si>
  <si>
    <t xml:space="preserve">плотность добываемой жидкости ρж, кг/м3. </t>
  </si>
  <si>
    <t>Плотность воды</t>
  </si>
  <si>
    <t xml:space="preserve"> dвн = </t>
  </si>
  <si>
    <t xml:space="preserve"> мм</t>
  </si>
  <si>
    <t xml:space="preserve"> м/с</t>
  </si>
  <si>
    <t>По табл. 5.1 выбираем ЗЦН5А- 160 - 1400 с числом ступеней 275</t>
  </si>
  <si>
    <t>Q</t>
  </si>
  <si>
    <t>Н</t>
  </si>
  <si>
    <t>корреляция</t>
  </si>
  <si>
    <t>ст.</t>
  </si>
  <si>
    <t>кВт</t>
  </si>
  <si>
    <t>где ηн  -  КПД насоса по его рабочей характеристике (табл. 5.1).=</t>
  </si>
  <si>
    <t>Электродвигатель</t>
  </si>
  <si>
    <t>Номинальные</t>
  </si>
  <si>
    <t>кпд,%</t>
  </si>
  <si>
    <r>
      <t>cos</t>
    </r>
    <r>
      <rPr>
        <sz val="14"/>
        <color indexed="8"/>
        <rFont val="Times New Roman"/>
        <family val="1"/>
        <charset val="204"/>
      </rPr>
      <t>α</t>
    </r>
  </si>
  <si>
    <t>Скорость охлаждения жидкости, м/с</t>
  </si>
  <si>
    <t>Темпера-тура окружаю-щей среды, ºС</t>
  </si>
  <si>
    <t>Длина, м</t>
  </si>
  <si>
    <t>Масса, кг</t>
  </si>
  <si>
    <t>Мощ-ность, кВт</t>
  </si>
  <si>
    <t>напряжения, В</t>
  </si>
  <si>
    <t>ток, А</t>
  </si>
  <si>
    <t>ПЭД14 -  103</t>
  </si>
  <si>
    <t>ПЭД20 -  103</t>
  </si>
  <si>
    <t>ПЭД28 -  103</t>
  </si>
  <si>
    <t>ПЭД40 -  103</t>
  </si>
  <si>
    <t>ПЭДС55 -  103</t>
  </si>
  <si>
    <t>ПЭД45 -  117</t>
  </si>
  <si>
    <t>ПЭД65 -  117</t>
  </si>
  <si>
    <t>ПЭД90 -  117</t>
  </si>
  <si>
    <t>ПЭД17 -  123</t>
  </si>
  <si>
    <t xml:space="preserve"> ПЭД35 -  123</t>
  </si>
  <si>
    <t>ПЭД46-123</t>
  </si>
  <si>
    <t>ПЭД55 -  123</t>
  </si>
  <si>
    <t>ПЭД 75 -  123</t>
  </si>
  <si>
    <t>ПЭД100 -  123</t>
  </si>
  <si>
    <t>ПЭД125 -  138</t>
  </si>
  <si>
    <t>Задача 24</t>
  </si>
  <si>
    <t xml:space="preserve">давление насыщения Рнас, Мпа; </t>
  </si>
  <si>
    <t>вязкость пластовой нефти μн пл,  мПа·с;</t>
  </si>
  <si>
    <t>вязкость дегазированной нефти μнд, мПа·с.</t>
  </si>
  <si>
    <t>объемная обводненность nо.</t>
  </si>
  <si>
    <t>Задача 25</t>
  </si>
  <si>
    <r>
      <t>дебит жидкости Q,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/сут;</t>
    </r>
  </si>
  <si>
    <t>динамический уровень hд, м;</t>
  </si>
  <si>
    <t>тип насоса</t>
  </si>
  <si>
    <t>необходимый напор насоса Нс, м;</t>
  </si>
  <si>
    <r>
      <t>газовый фактор Г,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;</t>
    </r>
  </si>
  <si>
    <t>давление в затрубном пространстве Рз, МПа;</t>
  </si>
  <si>
    <t>обводненность нефти n</t>
  </si>
  <si>
    <r>
      <t>плотность газа ρг, кг/м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;</t>
    </r>
  </si>
  <si>
    <r>
      <t>плотность нефти ρн, кг/м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;</t>
    </r>
  </si>
  <si>
    <t>температура жидкости на приеме, °С.</t>
  </si>
  <si>
    <t>ЭЦН5А-160-1400</t>
  </si>
  <si>
    <t xml:space="preserve">d НКТ = </t>
  </si>
  <si>
    <t>d вн =</t>
  </si>
  <si>
    <t xml:space="preserve">°К;          </t>
  </si>
  <si>
    <t>ρв =</t>
  </si>
  <si>
    <t xml:space="preserve">Т = </t>
  </si>
  <si>
    <t>°К</t>
  </si>
  <si>
    <t xml:space="preserve">Vрг = </t>
  </si>
  <si>
    <t xml:space="preserve"> м3/м3.</t>
  </si>
  <si>
    <t xml:space="preserve">МПа, </t>
  </si>
  <si>
    <t>Pп =</t>
  </si>
  <si>
    <t>Тп =</t>
  </si>
  <si>
    <t xml:space="preserve">По графикам Брауна [19, рис. 13] найдем Z = </t>
  </si>
  <si>
    <t>Мпа</t>
  </si>
  <si>
    <t>Z =</t>
  </si>
  <si>
    <t xml:space="preserve"> </t>
  </si>
  <si>
    <t>H'c=</t>
  </si>
  <si>
    <t>Задача 26</t>
  </si>
  <si>
    <t>Условный диаметр НКТ, мм;</t>
  </si>
  <si>
    <t>Толщина стенки, мм</t>
  </si>
  <si>
    <r>
      <t>дебит скважины Q,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/сут;</t>
    </r>
  </si>
  <si>
    <t>тип электродвигателя</t>
  </si>
  <si>
    <t>глубина спуска насоса, м;</t>
  </si>
  <si>
    <t>температура на приеме насоса, °С;</t>
  </si>
  <si>
    <t>расстояние до станции управления, м.</t>
  </si>
  <si>
    <t>ЗЦН5А- 160 - 1400</t>
  </si>
  <si>
    <t>arccos</t>
  </si>
  <si>
    <t>sin</t>
  </si>
  <si>
    <t>напряжение U, В</t>
  </si>
  <si>
    <t>ток I, А</t>
  </si>
  <si>
    <t>КПД, %</t>
  </si>
  <si>
    <t>соsφ</t>
  </si>
  <si>
    <t>Температура окружающей среды, °С</t>
  </si>
  <si>
    <t>скорость охлаждающей жидкости &gt;, м/с</t>
  </si>
  <si>
    <t>мм2</t>
  </si>
  <si>
    <t>Толщина кабеля КПБП =</t>
  </si>
  <si>
    <t>Толщина кабеля КПБК =</t>
  </si>
  <si>
    <t>Т.о. сечение жилы кабеля S =</t>
  </si>
  <si>
    <t>Ом/м</t>
  </si>
  <si>
    <t>В</t>
  </si>
  <si>
    <t>м/с</t>
  </si>
  <si>
    <t>(кВт*ч)/т</t>
  </si>
  <si>
    <t>задача 27</t>
  </si>
  <si>
    <t xml:space="preserve">Расчет ШГНУ и выбора режима его эксплуатации
Задача 14
</t>
  </si>
  <si>
    <t>Дебит скважины Q, м3/сут</t>
  </si>
  <si>
    <t>Коэффициент подачи насоса</t>
  </si>
  <si>
    <t>Выбираем по диаграмме Адонина    СКВ8 - 3,5 - 4000</t>
  </si>
  <si>
    <t>Dпл</t>
  </si>
  <si>
    <t>При глубине &gt; 1200 м следует выбрать вставной насос (выбираем НВ1Б-32-30-15).</t>
  </si>
  <si>
    <t xml:space="preserve">Для НВ-1Б-32 требуется НКТ: </t>
  </si>
  <si>
    <t>dнкт</t>
  </si>
  <si>
    <t>-</t>
  </si>
  <si>
    <t>НКТ 60x5 мм</t>
  </si>
  <si>
    <t xml:space="preserve">Расчет нагрузок на головку балансира станка-качалки
Задача 15
</t>
  </si>
  <si>
    <t>ε1</t>
  </si>
  <si>
    <t>ε2</t>
  </si>
  <si>
    <t>µ=</t>
  </si>
  <si>
    <t>1. Статическая теория</t>
  </si>
  <si>
    <t xml:space="preserve">а = </t>
  </si>
  <si>
    <t>w = с-1</t>
  </si>
  <si>
    <t>Рб=</t>
  </si>
  <si>
    <t>Pж</t>
  </si>
  <si>
    <t>b</t>
  </si>
  <si>
    <t>m</t>
  </si>
  <si>
    <t>Pш</t>
  </si>
  <si>
    <t>Pmax</t>
  </si>
  <si>
    <t>Pmin</t>
  </si>
  <si>
    <t>2. Формулы А.С. Вирновского</t>
  </si>
  <si>
    <t>Fпл</t>
  </si>
  <si>
    <t>fшт.ср.</t>
  </si>
  <si>
    <t>dшт.ср</t>
  </si>
  <si>
    <t xml:space="preserve">Р'ж = (Fпл  -  fшт) ·ρж·g·L  </t>
  </si>
  <si>
    <t>Рж'</t>
  </si>
  <si>
    <t>λшт</t>
  </si>
  <si>
    <t>Fтр</t>
  </si>
  <si>
    <t>ε</t>
  </si>
  <si>
    <t>fтр</t>
  </si>
  <si>
    <t>φ</t>
  </si>
  <si>
    <r>
      <t>Для С К-12-2,5- 4000 при S</t>
    </r>
    <r>
      <rPr>
        <vertAlign val="subscript"/>
        <sz val="11"/>
        <color indexed="8"/>
        <rFont val="Times New Roman"/>
        <family val="1"/>
        <charset val="204"/>
      </rPr>
      <t>А</t>
    </r>
    <r>
      <rPr>
        <sz val="11"/>
        <color indexed="8"/>
        <rFont val="Times New Roman"/>
        <family val="1"/>
        <charset val="204"/>
      </rPr>
      <t xml:space="preserve"> = 2,5 м </t>
    </r>
  </si>
  <si>
    <t>α1</t>
  </si>
  <si>
    <t>а1</t>
  </si>
  <si>
    <t>α2</t>
  </si>
  <si>
    <t>а2</t>
  </si>
  <si>
    <t>3. Упрощенные формулы А.С. Вирновского</t>
  </si>
  <si>
    <t>4. Формула И. А. Чарного</t>
  </si>
  <si>
    <t>μ</t>
  </si>
  <si>
    <t>tgμ</t>
  </si>
  <si>
    <t>5. Формула А.Н. Адонина</t>
  </si>
  <si>
    <t>Разницы:</t>
  </si>
  <si>
    <t>Вир -Ад</t>
  </si>
  <si>
    <t>Вир- упр Вир</t>
  </si>
  <si>
    <t>Вир-Мур</t>
  </si>
  <si>
    <t xml:space="preserve">Расчет длины хода плунжера по статической теории
Задача 16 
</t>
  </si>
  <si>
    <t>Внутренний диаметр НКТ dвн, м</t>
  </si>
  <si>
    <t>Сила сопротивления движению плунжера Рс, Н</t>
  </si>
  <si>
    <t>Буферное давление в выкидной линии Па</t>
  </si>
  <si>
    <t>Кинематическая вязкость нефти ν, см2/с</t>
  </si>
  <si>
    <t>Температура °С</t>
  </si>
  <si>
    <t xml:space="preserve">Число качаний в минуту n </t>
  </si>
  <si>
    <t xml:space="preserve">         ω = π·n / 30  </t>
  </si>
  <si>
    <t>ω</t>
  </si>
  <si>
    <t>µ</t>
  </si>
  <si>
    <t>Рст</t>
  </si>
  <si>
    <t>Vср</t>
  </si>
  <si>
    <t>Re</t>
  </si>
  <si>
    <t>&lt;</t>
  </si>
  <si>
    <t>λг</t>
  </si>
  <si>
    <t>Pг</t>
  </si>
  <si>
    <t>Pc</t>
  </si>
  <si>
    <t>ΔPж</t>
  </si>
  <si>
    <t>λш</t>
  </si>
  <si>
    <t>λт</t>
  </si>
  <si>
    <t>λсж.ш</t>
  </si>
  <si>
    <t>Rс</t>
  </si>
  <si>
    <t>Lcж</t>
  </si>
  <si>
    <t>I</t>
  </si>
  <si>
    <t>м4</t>
  </si>
  <si>
    <t>λиз</t>
  </si>
  <si>
    <t>Sпл</t>
  </si>
  <si>
    <t xml:space="preserve">Расчет длины хода плунжера по статической  и динамической теориям
Задача 17 
</t>
  </si>
  <si>
    <t>рад</t>
  </si>
  <si>
    <r>
      <t>cos</t>
    </r>
    <r>
      <rPr>
        <sz val="11"/>
        <color indexed="8"/>
        <rFont val="Calibri"/>
        <family val="2"/>
        <charset val="204"/>
      </rPr>
      <t>μ</t>
    </r>
  </si>
  <si>
    <t>Pс</t>
  </si>
  <si>
    <t>Pст</t>
  </si>
  <si>
    <t>Lсж</t>
  </si>
  <si>
    <t>Rc</t>
  </si>
  <si>
    <t xml:space="preserve">Так как колонна штанг одноступенчатая, а жидкость вязкая, то </t>
  </si>
  <si>
    <t>β</t>
  </si>
  <si>
    <t>shβ</t>
  </si>
  <si>
    <t>По табл. 4.1 - 4.3 выбираем штанги из углеродистой стали (σпр = 70 МПа) диаметр = 22 мм и диаметр = 19 мм</t>
  </si>
  <si>
    <t>Режимные параметры 7СК8-3,5 - 4000 по ГОСТ 5866   Sа = 1,7; 2,1; 3,0; 3,5 м  -  длина хода точки подвески штанг. Число качаний, n = 5 - 12 мин-1.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</si>
</sst>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E+00"/>
    <numFmt numFmtId="167" formatCode="0.0"/>
    <numFmt numFmtId="168" formatCode="0.000000"/>
    <numFmt numFmtId="169" formatCode="0.0000"/>
  </numFmts>
  <fonts count="2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.4"/>
      <color indexed="8"/>
      <name val="Times New Roman"/>
      <family val="1"/>
      <charset val="204"/>
    </font>
    <font>
      <vertAlign val="subscript"/>
      <sz val="11"/>
      <color indexed="8"/>
      <name val="Times New Roman"/>
      <family val="1"/>
      <charset val="204"/>
    </font>
    <font>
      <vertAlign val="subscript"/>
      <sz val="12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4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u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Border="1"/>
    <xf numFmtId="0" fontId="3" fillId="0" borderId="8" xfId="0" applyFont="1" applyBorder="1"/>
    <xf numFmtId="0" fontId="0" fillId="0" borderId="0" xfId="0" applyBorder="1"/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0" xfId="0" applyFont="1" applyFill="1" applyBorder="1" applyAlignment="1">
      <alignment horizontal="center"/>
    </xf>
    <xf numFmtId="0" fontId="0" fillId="0" borderId="10" xfId="0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1" fillId="0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2" xfId="0" applyFont="1" applyFill="1" applyBorder="1"/>
    <xf numFmtId="0" fontId="5" fillId="0" borderId="0" xfId="0" applyFont="1" applyFill="1" applyBorder="1" applyAlignment="1">
      <alignment horizontal="right"/>
    </xf>
    <xf numFmtId="0" fontId="3" fillId="0" borderId="7" xfId="0" applyFont="1" applyFill="1" applyBorder="1"/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Alignment="1"/>
    <xf numFmtId="164" fontId="3" fillId="0" borderId="0" xfId="0" applyNumberFormat="1" applyFont="1" applyFill="1"/>
    <xf numFmtId="0" fontId="0" fillId="0" borderId="12" xfId="0" applyBorder="1"/>
    <xf numFmtId="2" fontId="0" fillId="0" borderId="0" xfId="0" applyNumberFormat="1"/>
    <xf numFmtId="16" fontId="0" fillId="0" borderId="0" xfId="0" applyNumberFormat="1"/>
    <xf numFmtId="0" fontId="0" fillId="0" borderId="0" xfId="0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/>
    <xf numFmtId="0" fontId="3" fillId="0" borderId="5" xfId="0" applyFont="1" applyBorder="1"/>
    <xf numFmtId="0" fontId="3" fillId="0" borderId="0" xfId="0" applyFont="1" applyBorder="1" applyAlignment="1">
      <alignment wrapText="1"/>
    </xf>
    <xf numFmtId="0" fontId="0" fillId="0" borderId="5" xfId="0" applyFill="1" applyBorder="1"/>
    <xf numFmtId="0" fontId="0" fillId="0" borderId="0" xfId="0" applyFill="1" applyBorder="1"/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20" fillId="0" borderId="0" xfId="0" applyFont="1" applyFill="1" applyBorder="1"/>
    <xf numFmtId="0" fontId="1" fillId="0" borderId="7" xfId="0" applyFont="1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0" fillId="0" borderId="0" xfId="0" applyFill="1" applyBorder="1" applyAlignment="1">
      <alignment wrapText="1"/>
    </xf>
    <xf numFmtId="0" fontId="0" fillId="0" borderId="16" xfId="0" applyFill="1" applyBorder="1"/>
    <xf numFmtId="0" fontId="0" fillId="0" borderId="12" xfId="0" applyFill="1" applyBorder="1"/>
    <xf numFmtId="0" fontId="20" fillId="0" borderId="16" xfId="0" applyFont="1" applyFill="1" applyBorder="1"/>
    <xf numFmtId="0" fontId="1" fillId="0" borderId="0" xfId="0" applyFont="1" applyFill="1" applyBorder="1"/>
    <xf numFmtId="0" fontId="20" fillId="0" borderId="7" xfId="0" applyFont="1" applyFill="1" applyBorder="1" applyAlignment="1">
      <alignment horizontal="right"/>
    </xf>
    <xf numFmtId="164" fontId="0" fillId="0" borderId="0" xfId="0" applyNumberFormat="1" applyFill="1" applyBorder="1"/>
    <xf numFmtId="0" fontId="21" fillId="0" borderId="7" xfId="0" applyFont="1" applyFill="1" applyBorder="1"/>
    <xf numFmtId="0" fontId="20" fillId="0" borderId="7" xfId="0" applyFont="1" applyFill="1" applyBorder="1"/>
    <xf numFmtId="0" fontId="1" fillId="0" borderId="9" xfId="0" applyFont="1" applyFill="1" applyBorder="1"/>
    <xf numFmtId="0" fontId="0" fillId="0" borderId="12" xfId="0" applyFill="1" applyBorder="1" applyAlignment="1">
      <alignment horizontal="center" vertical="center" wrapText="1"/>
    </xf>
    <xf numFmtId="0" fontId="22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23" fillId="0" borderId="0" xfId="0" applyFont="1" applyFill="1" applyBorder="1"/>
    <xf numFmtId="0" fontId="3" fillId="0" borderId="8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7" fillId="0" borderId="0" xfId="0" applyFont="1" applyFill="1" applyBorder="1"/>
    <xf numFmtId="0" fontId="3" fillId="0" borderId="0" xfId="0" applyFont="1" applyFill="1" applyBorder="1" applyAlignment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166" fontId="3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0" fontId="3" fillId="0" borderId="11" xfId="0" applyFont="1" applyFill="1" applyBorder="1"/>
    <xf numFmtId="0" fontId="3" fillId="0" borderId="6" xfId="0" applyFont="1" applyFill="1" applyBorder="1"/>
    <xf numFmtId="0" fontId="5" fillId="0" borderId="0" xfId="0" applyFont="1" applyFill="1" applyBorder="1"/>
    <xf numFmtId="1" fontId="3" fillId="0" borderId="0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5" fillId="0" borderId="10" xfId="0" applyFont="1" applyFill="1" applyBorder="1"/>
    <xf numFmtId="167" fontId="3" fillId="0" borderId="0" xfId="0" applyNumberFormat="1" applyFont="1" applyFill="1" applyBorder="1"/>
    <xf numFmtId="0" fontId="2" fillId="0" borderId="0" xfId="0" applyFont="1" applyFill="1" applyBorder="1"/>
    <xf numFmtId="0" fontId="2" fillId="0" borderId="1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15" fillId="0" borderId="7" xfId="0" applyFont="1" applyFill="1" applyBorder="1"/>
    <xf numFmtId="0" fontId="15" fillId="0" borderId="0" xfId="0" applyFont="1" applyFill="1" applyBorder="1"/>
    <xf numFmtId="0" fontId="0" fillId="0" borderId="4" xfId="0" applyFill="1" applyBorder="1"/>
    <xf numFmtId="0" fontId="0" fillId="0" borderId="6" xfId="0" applyFill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68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7" xfId="0" applyFont="1" applyFill="1" applyBorder="1" applyAlignment="1"/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8" xfId="0" applyFill="1" applyBorder="1"/>
    <xf numFmtId="0" fontId="3" fillId="0" borderId="17" xfId="0" applyFont="1" applyFill="1" applyBorder="1" applyAlignment="1"/>
    <xf numFmtId="0" fontId="5" fillId="0" borderId="7" xfId="0" applyFont="1" applyFill="1" applyBorder="1"/>
    <xf numFmtId="0" fontId="0" fillId="0" borderId="0" xfId="0" applyFill="1"/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Зависимость </a:t>
            </a:r>
            <a:r>
              <a:rPr lang="en-US"/>
              <a:t>H </a:t>
            </a:r>
            <a:r>
              <a:rPr lang="ru-RU"/>
              <a:t>от </a:t>
            </a:r>
            <a:r>
              <a:rPr lang="en-US"/>
              <a:t>Q 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smoothMarker"/>
        <c:ser>
          <c:idx val="0"/>
          <c:order val="0"/>
          <c:tx>
            <c:v>H от Q</c:v>
          </c:tx>
          <c:marker>
            <c:symbol val="none"/>
          </c:marker>
          <c:xVal>
            <c:numRef>
              <c:f>'[1]уэцн 24'!$A$51:$A$53</c:f>
              <c:numCache>
                <c:formatCode>General</c:formatCode>
                <c:ptCount val="3"/>
                <c:pt idx="0">
                  <c:v>125</c:v>
                </c:pt>
                <c:pt idx="1">
                  <c:v>160</c:v>
                </c:pt>
                <c:pt idx="2">
                  <c:v>205</c:v>
                </c:pt>
              </c:numCache>
            </c:numRef>
          </c:xVal>
          <c:yVal>
            <c:numRef>
              <c:f>'[1]уэцн 24'!$B$51:$B$53</c:f>
              <c:numCache>
                <c:formatCode>General</c:formatCode>
                <c:ptCount val="3"/>
                <c:pt idx="0">
                  <c:v>1520</c:v>
                </c:pt>
                <c:pt idx="1">
                  <c:v>1400</c:v>
                </c:pt>
                <c:pt idx="2">
                  <c:v>1000</c:v>
                </c:pt>
              </c:numCache>
            </c:numRef>
          </c:yVal>
          <c:smooth val="1"/>
        </c:ser>
        <c:axId val="58866688"/>
        <c:axId val="101683968"/>
      </c:scatterChart>
      <c:valAx>
        <c:axId val="58866688"/>
        <c:scaling>
          <c:orientation val="minMax"/>
          <c:min val="100"/>
        </c:scaling>
        <c:axPos val="b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01683968"/>
        <c:crosses val="autoZero"/>
        <c:crossBetween val="midCat"/>
        <c:majorUnit val="50"/>
        <c:minorUnit val="10"/>
      </c:valAx>
      <c:valAx>
        <c:axId val="101683968"/>
        <c:scaling>
          <c:orientation val="minMax"/>
          <c:max val="2000"/>
          <c:min val="800"/>
        </c:scaling>
        <c:axPos val="l"/>
        <c:minorGridlines/>
        <c:numFmt formatCode="General" sourceLinked="1"/>
        <c:tickLblPos val="nextTo"/>
        <c:crossAx val="58866688"/>
        <c:crosses val="autoZero"/>
        <c:crossBetween val="midCat"/>
        <c:majorUnit val="10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20415329588571"/>
          <c:y val="0.52071663662801027"/>
          <c:w val="0.1438565480484929"/>
          <c:h val="6.5774733047748696E-2"/>
        </c:manualLayout>
      </c:layout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wmf"/><Relationship Id="rId50" Type="http://schemas.openxmlformats.org/officeDocument/2006/relationships/image" Target="../media/image50.wmf"/><Relationship Id="rId55" Type="http://schemas.openxmlformats.org/officeDocument/2006/relationships/image" Target="../media/image55.wmf"/><Relationship Id="rId63" Type="http://schemas.openxmlformats.org/officeDocument/2006/relationships/image" Target="../media/image63.wmf"/><Relationship Id="rId68" Type="http://schemas.openxmlformats.org/officeDocument/2006/relationships/image" Target="../media/image68.wmf"/><Relationship Id="rId76" Type="http://schemas.openxmlformats.org/officeDocument/2006/relationships/image" Target="../media/image76.wmf"/><Relationship Id="rId84" Type="http://schemas.openxmlformats.org/officeDocument/2006/relationships/image" Target="../media/image84.emf"/><Relationship Id="rId89" Type="http://schemas.openxmlformats.org/officeDocument/2006/relationships/image" Target="../media/image89.wmf"/><Relationship Id="rId97" Type="http://schemas.openxmlformats.org/officeDocument/2006/relationships/image" Target="../media/image97.wmf"/><Relationship Id="rId7" Type="http://schemas.openxmlformats.org/officeDocument/2006/relationships/image" Target="../media/image7.w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w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wmf"/><Relationship Id="rId79" Type="http://schemas.openxmlformats.org/officeDocument/2006/relationships/image" Target="../media/image79.emf"/><Relationship Id="rId87" Type="http://schemas.openxmlformats.org/officeDocument/2006/relationships/image" Target="../media/image87.wmf"/><Relationship Id="rId5" Type="http://schemas.openxmlformats.org/officeDocument/2006/relationships/image" Target="../media/image5.wmf"/><Relationship Id="rId61" Type="http://schemas.openxmlformats.org/officeDocument/2006/relationships/image" Target="../media/image61.wmf"/><Relationship Id="rId82" Type="http://schemas.openxmlformats.org/officeDocument/2006/relationships/image" Target="../media/image82.emf"/><Relationship Id="rId90" Type="http://schemas.openxmlformats.org/officeDocument/2006/relationships/image" Target="../media/image90.wmf"/><Relationship Id="rId95" Type="http://schemas.openxmlformats.org/officeDocument/2006/relationships/image" Target="../media/image95.w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wmf"/><Relationship Id="rId27" Type="http://schemas.openxmlformats.org/officeDocument/2006/relationships/image" Target="../media/image27.wmf"/><Relationship Id="rId30" Type="http://schemas.openxmlformats.org/officeDocument/2006/relationships/image" Target="../media/image30.emf"/><Relationship Id="rId35" Type="http://schemas.openxmlformats.org/officeDocument/2006/relationships/image" Target="../media/image35.wmf"/><Relationship Id="rId43" Type="http://schemas.openxmlformats.org/officeDocument/2006/relationships/image" Target="../media/image43.emf"/><Relationship Id="rId48" Type="http://schemas.openxmlformats.org/officeDocument/2006/relationships/image" Target="../media/image48.wmf"/><Relationship Id="rId56" Type="http://schemas.openxmlformats.org/officeDocument/2006/relationships/image" Target="../media/image56.wmf"/><Relationship Id="rId64" Type="http://schemas.openxmlformats.org/officeDocument/2006/relationships/image" Target="../media/image64.w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100" Type="http://schemas.openxmlformats.org/officeDocument/2006/relationships/image" Target="../media/image100.w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80" Type="http://schemas.openxmlformats.org/officeDocument/2006/relationships/image" Target="../media/image80.wmf"/><Relationship Id="rId85" Type="http://schemas.openxmlformats.org/officeDocument/2006/relationships/image" Target="../media/image85.wmf"/><Relationship Id="rId93" Type="http://schemas.openxmlformats.org/officeDocument/2006/relationships/image" Target="../media/image93.wmf"/><Relationship Id="rId98" Type="http://schemas.openxmlformats.org/officeDocument/2006/relationships/image" Target="../media/image98.wmf"/><Relationship Id="rId3" Type="http://schemas.openxmlformats.org/officeDocument/2006/relationships/image" Target="../media/image3.emf"/><Relationship Id="rId12" Type="http://schemas.openxmlformats.org/officeDocument/2006/relationships/image" Target="../media/image12.w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wmf"/><Relationship Id="rId59" Type="http://schemas.openxmlformats.org/officeDocument/2006/relationships/image" Target="../media/image59.wmf"/><Relationship Id="rId67" Type="http://schemas.openxmlformats.org/officeDocument/2006/relationships/image" Target="../media/image67.w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wmf"/><Relationship Id="rId62" Type="http://schemas.openxmlformats.org/officeDocument/2006/relationships/image" Target="../media/image62.w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83" Type="http://schemas.openxmlformats.org/officeDocument/2006/relationships/image" Target="../media/image83.emf"/><Relationship Id="rId88" Type="http://schemas.openxmlformats.org/officeDocument/2006/relationships/image" Target="../media/image88.w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wmf"/><Relationship Id="rId36" Type="http://schemas.openxmlformats.org/officeDocument/2006/relationships/image" Target="../media/image36.wmf"/><Relationship Id="rId49" Type="http://schemas.openxmlformats.org/officeDocument/2006/relationships/image" Target="../media/image49.w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wmf"/><Relationship Id="rId60" Type="http://schemas.openxmlformats.org/officeDocument/2006/relationships/image" Target="../media/image60.w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wmf"/><Relationship Id="rId86" Type="http://schemas.openxmlformats.org/officeDocument/2006/relationships/image" Target="../media/image86.wmf"/><Relationship Id="rId94" Type="http://schemas.openxmlformats.org/officeDocument/2006/relationships/image" Target="../media/image94.wmf"/><Relationship Id="rId99" Type="http://schemas.openxmlformats.org/officeDocument/2006/relationships/image" Target="../media/image99.wmf"/><Relationship Id="rId101" Type="http://schemas.openxmlformats.org/officeDocument/2006/relationships/image" Target="../media/image101.wmf"/><Relationship Id="rId4" Type="http://schemas.openxmlformats.org/officeDocument/2006/relationships/image" Target="../media/image4.emf"/><Relationship Id="rId9" Type="http://schemas.openxmlformats.org/officeDocument/2006/relationships/image" Target="../media/image9.w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9.wmf"/><Relationship Id="rId13" Type="http://schemas.openxmlformats.org/officeDocument/2006/relationships/image" Target="../media/image114.wmf"/><Relationship Id="rId18" Type="http://schemas.openxmlformats.org/officeDocument/2006/relationships/image" Target="../media/image119.wmf"/><Relationship Id="rId26" Type="http://schemas.openxmlformats.org/officeDocument/2006/relationships/image" Target="../media/image127.wmf"/><Relationship Id="rId39" Type="http://schemas.openxmlformats.org/officeDocument/2006/relationships/image" Target="../media/image140.wmf"/><Relationship Id="rId3" Type="http://schemas.openxmlformats.org/officeDocument/2006/relationships/image" Target="../media/image104.wmf"/><Relationship Id="rId21" Type="http://schemas.openxmlformats.org/officeDocument/2006/relationships/image" Target="../media/image122.wmf"/><Relationship Id="rId34" Type="http://schemas.openxmlformats.org/officeDocument/2006/relationships/image" Target="../media/image135.wmf"/><Relationship Id="rId7" Type="http://schemas.openxmlformats.org/officeDocument/2006/relationships/image" Target="../media/image108.wmf"/><Relationship Id="rId12" Type="http://schemas.openxmlformats.org/officeDocument/2006/relationships/image" Target="../media/image113.wmf"/><Relationship Id="rId17" Type="http://schemas.openxmlformats.org/officeDocument/2006/relationships/image" Target="../media/image118.wmf"/><Relationship Id="rId25" Type="http://schemas.openxmlformats.org/officeDocument/2006/relationships/image" Target="../media/image126.wmf"/><Relationship Id="rId33" Type="http://schemas.openxmlformats.org/officeDocument/2006/relationships/image" Target="../media/image134.wmf"/><Relationship Id="rId38" Type="http://schemas.openxmlformats.org/officeDocument/2006/relationships/image" Target="../media/image139.wmf"/><Relationship Id="rId2" Type="http://schemas.openxmlformats.org/officeDocument/2006/relationships/image" Target="../media/image103.wmf"/><Relationship Id="rId16" Type="http://schemas.openxmlformats.org/officeDocument/2006/relationships/image" Target="../media/image117.wmf"/><Relationship Id="rId20" Type="http://schemas.openxmlformats.org/officeDocument/2006/relationships/image" Target="../media/image121.wmf"/><Relationship Id="rId29" Type="http://schemas.openxmlformats.org/officeDocument/2006/relationships/image" Target="../media/image130.wmf"/><Relationship Id="rId1" Type="http://schemas.openxmlformats.org/officeDocument/2006/relationships/image" Target="../media/image102.wmf"/><Relationship Id="rId6" Type="http://schemas.openxmlformats.org/officeDocument/2006/relationships/image" Target="../media/image107.wmf"/><Relationship Id="rId11" Type="http://schemas.openxmlformats.org/officeDocument/2006/relationships/image" Target="../media/image112.wmf"/><Relationship Id="rId24" Type="http://schemas.openxmlformats.org/officeDocument/2006/relationships/image" Target="../media/image125.wmf"/><Relationship Id="rId32" Type="http://schemas.openxmlformats.org/officeDocument/2006/relationships/image" Target="../media/image133.wmf"/><Relationship Id="rId37" Type="http://schemas.openxmlformats.org/officeDocument/2006/relationships/image" Target="../media/image138.wmf"/><Relationship Id="rId40" Type="http://schemas.openxmlformats.org/officeDocument/2006/relationships/image" Target="../media/image141.wmf"/><Relationship Id="rId5" Type="http://schemas.openxmlformats.org/officeDocument/2006/relationships/image" Target="../media/image106.wmf"/><Relationship Id="rId15" Type="http://schemas.openxmlformats.org/officeDocument/2006/relationships/image" Target="../media/image116.wmf"/><Relationship Id="rId23" Type="http://schemas.openxmlformats.org/officeDocument/2006/relationships/image" Target="../media/image124.wmf"/><Relationship Id="rId28" Type="http://schemas.openxmlformats.org/officeDocument/2006/relationships/image" Target="../media/image129.wmf"/><Relationship Id="rId36" Type="http://schemas.openxmlformats.org/officeDocument/2006/relationships/image" Target="../media/image137.wmf"/><Relationship Id="rId10" Type="http://schemas.openxmlformats.org/officeDocument/2006/relationships/image" Target="../media/image111.wmf"/><Relationship Id="rId19" Type="http://schemas.openxmlformats.org/officeDocument/2006/relationships/image" Target="../media/image120.wmf"/><Relationship Id="rId31" Type="http://schemas.openxmlformats.org/officeDocument/2006/relationships/image" Target="../media/image132.wmf"/><Relationship Id="rId4" Type="http://schemas.openxmlformats.org/officeDocument/2006/relationships/image" Target="../media/image105.wmf"/><Relationship Id="rId9" Type="http://schemas.openxmlformats.org/officeDocument/2006/relationships/image" Target="../media/image110.wmf"/><Relationship Id="rId14" Type="http://schemas.openxmlformats.org/officeDocument/2006/relationships/image" Target="../media/image115.wmf"/><Relationship Id="rId22" Type="http://schemas.openxmlformats.org/officeDocument/2006/relationships/image" Target="../media/image123.wmf"/><Relationship Id="rId27" Type="http://schemas.openxmlformats.org/officeDocument/2006/relationships/image" Target="../media/image128.wmf"/><Relationship Id="rId30" Type="http://schemas.openxmlformats.org/officeDocument/2006/relationships/image" Target="../media/image131.wmf"/><Relationship Id="rId35" Type="http://schemas.openxmlformats.org/officeDocument/2006/relationships/image" Target="../media/image13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49</xdr:row>
      <xdr:rowOff>171450</xdr:rowOff>
    </xdr:from>
    <xdr:to>
      <xdr:col>7</xdr:col>
      <xdr:colOff>238125</xdr:colOff>
      <xdr:row>67</xdr:row>
      <xdr:rowOff>9525</xdr:rowOff>
    </xdr:to>
    <xdr:graphicFrame macro="">
      <xdr:nvGraphicFramePr>
        <xdr:cNvPr id="2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4</xdr:row>
      <xdr:rowOff>11206</xdr:rowOff>
    </xdr:from>
    <xdr:ext cx="3992028" cy="236214"/>
    <xdr:sp macro="" textlink="">
      <xdr:nvSpPr>
        <xdr:cNvPr id="3" name="TextBox 2"/>
        <xdr:cNvSpPr txBox="1"/>
      </xdr:nvSpPr>
      <xdr:spPr>
        <a:xfrm>
          <a:off x="0" y="1830481"/>
          <a:ext cx="3992028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Определяем площадь внутреннего канала НКТ при </a:t>
          </a:r>
          <a:r>
            <a:rPr lang="en-US" sz="1100"/>
            <a:t>V</a:t>
          </a:r>
          <a:r>
            <a:rPr lang="ru-RU" sz="1100"/>
            <a:t>ср = 1,3 м/с</a:t>
          </a:r>
        </a:p>
      </xdr:txBody>
    </xdr:sp>
    <xdr:clientData/>
  </xdr:oneCellAnchor>
  <xdr:oneCellAnchor>
    <xdr:from>
      <xdr:col>0</xdr:col>
      <xdr:colOff>179294</xdr:colOff>
      <xdr:row>8</xdr:row>
      <xdr:rowOff>123265</xdr:rowOff>
    </xdr:from>
    <xdr:ext cx="1337133" cy="228069"/>
    <xdr:sp macro="" textlink="">
      <xdr:nvSpPr>
        <xdr:cNvPr id="4" name="TextBox 3"/>
        <xdr:cNvSpPr txBox="1"/>
      </xdr:nvSpPr>
      <xdr:spPr>
        <a:xfrm>
          <a:off x="179294" y="2742640"/>
          <a:ext cx="1337133" cy="228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Внутренний диаметр</a:t>
          </a:r>
        </a:p>
      </xdr:txBody>
    </xdr:sp>
    <xdr:clientData/>
  </xdr:oneCellAnchor>
  <xdr:oneCellAnchor>
    <xdr:from>
      <xdr:col>0</xdr:col>
      <xdr:colOff>0</xdr:colOff>
      <xdr:row>12</xdr:row>
      <xdr:rowOff>190499</xdr:rowOff>
    </xdr:from>
    <xdr:ext cx="3368622" cy="228069"/>
    <xdr:sp macro="" textlink="">
      <xdr:nvSpPr>
        <xdr:cNvPr id="5" name="TextBox 4"/>
        <xdr:cNvSpPr txBox="1"/>
      </xdr:nvSpPr>
      <xdr:spPr>
        <a:xfrm>
          <a:off x="0" y="4410074"/>
          <a:ext cx="3368622" cy="228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Ближайший больший </a:t>
          </a:r>
          <a:r>
            <a:rPr lang="en-US" sz="1100"/>
            <a:t>d</a:t>
          </a:r>
          <a:r>
            <a:rPr lang="ru-RU" sz="1100"/>
            <a:t>вн имеют НКТ диаметром 48 мм</a:t>
          </a:r>
        </a:p>
      </xdr:txBody>
    </xdr:sp>
    <xdr:clientData/>
  </xdr:oneCellAnchor>
  <xdr:oneCellAnchor>
    <xdr:from>
      <xdr:col>0</xdr:col>
      <xdr:colOff>56030</xdr:colOff>
      <xdr:row>15</xdr:row>
      <xdr:rowOff>33618</xdr:rowOff>
    </xdr:from>
    <xdr:ext cx="2585469" cy="235164"/>
    <xdr:sp macro="" textlink="">
      <xdr:nvSpPr>
        <xdr:cNvPr id="6" name="TextBox 5"/>
        <xdr:cNvSpPr txBox="1"/>
      </xdr:nvSpPr>
      <xdr:spPr>
        <a:xfrm>
          <a:off x="56030" y="4053168"/>
          <a:ext cx="2585469" cy="235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Скорректируем выбранное значение </a:t>
          </a:r>
          <a:r>
            <a:rPr lang="en-US" sz="1100"/>
            <a:t>V</a:t>
          </a:r>
          <a:r>
            <a:rPr lang="ru-RU" sz="1100"/>
            <a:t>ср</a:t>
          </a:r>
        </a:p>
      </xdr:txBody>
    </xdr:sp>
    <xdr:clientData/>
  </xdr:oneCellAnchor>
  <xdr:oneCellAnchor>
    <xdr:from>
      <xdr:col>0</xdr:col>
      <xdr:colOff>134470</xdr:colOff>
      <xdr:row>19</xdr:row>
      <xdr:rowOff>33618</xdr:rowOff>
    </xdr:from>
    <xdr:ext cx="1508113" cy="236214"/>
    <xdr:sp macro="" textlink="">
      <xdr:nvSpPr>
        <xdr:cNvPr id="7" name="TextBox 6"/>
        <xdr:cNvSpPr txBox="1"/>
      </xdr:nvSpPr>
      <xdr:spPr>
        <a:xfrm>
          <a:off x="134470" y="4853268"/>
          <a:ext cx="1508113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Депрессия будет равна</a:t>
          </a:r>
        </a:p>
      </xdr:txBody>
    </xdr:sp>
    <xdr:clientData/>
  </xdr:oneCellAnchor>
  <xdr:oneCellAnchor>
    <xdr:from>
      <xdr:col>0</xdr:col>
      <xdr:colOff>235324</xdr:colOff>
      <xdr:row>24</xdr:row>
      <xdr:rowOff>78441</xdr:rowOff>
    </xdr:from>
    <xdr:ext cx="1185331" cy="236214"/>
    <xdr:sp macro="" textlink="">
      <xdr:nvSpPr>
        <xdr:cNvPr id="8" name="TextBox 7"/>
        <xdr:cNvSpPr txBox="1"/>
      </xdr:nvSpPr>
      <xdr:spPr>
        <a:xfrm>
          <a:off x="235324" y="5898216"/>
          <a:ext cx="1185331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Число Рейнольдса</a:t>
          </a:r>
        </a:p>
      </xdr:txBody>
    </xdr:sp>
    <xdr:clientData/>
  </xdr:oneCellAnchor>
  <xdr:oneCellAnchor>
    <xdr:from>
      <xdr:col>0</xdr:col>
      <xdr:colOff>235324</xdr:colOff>
      <xdr:row>28</xdr:row>
      <xdr:rowOff>190500</xdr:rowOff>
    </xdr:from>
    <xdr:ext cx="884333" cy="226766"/>
    <xdr:sp macro="" textlink="">
      <xdr:nvSpPr>
        <xdr:cNvPr id="9" name="TextBox 8"/>
        <xdr:cNvSpPr txBox="1"/>
      </xdr:nvSpPr>
      <xdr:spPr>
        <a:xfrm>
          <a:off x="235324" y="6810375"/>
          <a:ext cx="884333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Определим </a:t>
          </a:r>
          <a:r>
            <a:rPr lang="el-GR" sz="1100"/>
            <a:t>λ </a:t>
          </a:r>
          <a:endParaRPr lang="ru-RU" sz="1100"/>
        </a:p>
      </xdr:txBody>
    </xdr:sp>
    <xdr:clientData/>
  </xdr:oneCellAnchor>
  <xdr:oneCellAnchor>
    <xdr:from>
      <xdr:col>0</xdr:col>
      <xdr:colOff>201706</xdr:colOff>
      <xdr:row>32</xdr:row>
      <xdr:rowOff>123264</xdr:rowOff>
    </xdr:from>
    <xdr:ext cx="1421783" cy="226766"/>
    <xdr:sp macro="" textlink="">
      <xdr:nvSpPr>
        <xdr:cNvPr id="10" name="TextBox 9"/>
        <xdr:cNvSpPr txBox="1"/>
      </xdr:nvSpPr>
      <xdr:spPr>
        <a:xfrm>
          <a:off x="201706" y="7543239"/>
          <a:ext cx="1421783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Глубина спуска насоса </a:t>
          </a:r>
        </a:p>
      </xdr:txBody>
    </xdr:sp>
    <xdr:clientData/>
  </xdr:oneCellAnchor>
  <xdr:oneCellAnchor>
    <xdr:from>
      <xdr:col>0</xdr:col>
      <xdr:colOff>336176</xdr:colOff>
      <xdr:row>36</xdr:row>
      <xdr:rowOff>156882</xdr:rowOff>
    </xdr:from>
    <xdr:ext cx="1700779" cy="237192"/>
    <xdr:sp macro="" textlink="">
      <xdr:nvSpPr>
        <xdr:cNvPr id="11" name="TextBox 10"/>
        <xdr:cNvSpPr txBox="1"/>
      </xdr:nvSpPr>
      <xdr:spPr>
        <a:xfrm>
          <a:off x="336176" y="8376957"/>
          <a:ext cx="1700779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Потери на трение в трубах</a:t>
          </a:r>
        </a:p>
      </xdr:txBody>
    </xdr:sp>
    <xdr:clientData/>
  </xdr:oneCellAnchor>
  <xdr:oneCellAnchor>
    <xdr:from>
      <xdr:col>0</xdr:col>
      <xdr:colOff>179294</xdr:colOff>
      <xdr:row>41</xdr:row>
      <xdr:rowOff>22412</xdr:rowOff>
    </xdr:from>
    <xdr:ext cx="1874774" cy="236214"/>
    <xdr:sp macro="" textlink="">
      <xdr:nvSpPr>
        <xdr:cNvPr id="12" name="TextBox 11"/>
        <xdr:cNvSpPr txBox="1"/>
      </xdr:nvSpPr>
      <xdr:spPr>
        <a:xfrm>
          <a:off x="179294" y="9242612"/>
          <a:ext cx="187477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Потери напора в сепараторе</a:t>
          </a:r>
        </a:p>
      </xdr:txBody>
    </xdr:sp>
    <xdr:clientData/>
  </xdr:oneCellAnchor>
  <xdr:oneCellAnchor>
    <xdr:from>
      <xdr:col>0</xdr:col>
      <xdr:colOff>291354</xdr:colOff>
      <xdr:row>44</xdr:row>
      <xdr:rowOff>201705</xdr:rowOff>
    </xdr:from>
    <xdr:ext cx="2053641" cy="236214"/>
    <xdr:sp macro="" textlink="">
      <xdr:nvSpPr>
        <xdr:cNvPr id="13" name="TextBox 12"/>
        <xdr:cNvSpPr txBox="1"/>
      </xdr:nvSpPr>
      <xdr:spPr>
        <a:xfrm>
          <a:off x="291354" y="10021980"/>
          <a:ext cx="2053641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Величина необходимого напора</a:t>
          </a:r>
        </a:p>
      </xdr:txBody>
    </xdr:sp>
    <xdr:clientData/>
  </xdr:oneCellAnchor>
  <xdr:oneCellAnchor>
    <xdr:from>
      <xdr:col>0</xdr:col>
      <xdr:colOff>33617</xdr:colOff>
      <xdr:row>67</xdr:row>
      <xdr:rowOff>168089</xdr:rowOff>
    </xdr:from>
    <xdr:ext cx="6900194" cy="235164"/>
    <xdr:sp macro="" textlink="">
      <xdr:nvSpPr>
        <xdr:cNvPr id="14" name="TextBox 13"/>
        <xdr:cNvSpPr txBox="1"/>
      </xdr:nvSpPr>
      <xdr:spPr>
        <a:xfrm>
          <a:off x="33617" y="14588939"/>
          <a:ext cx="6900194" cy="235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Из полученной рабочей области характеристики найдем, что при дебите 170 м3/сут напор ЭЦН на воде составит</a:t>
          </a:r>
        </a:p>
      </xdr:txBody>
    </xdr:sp>
    <xdr:clientData/>
  </xdr:oneCellAnchor>
  <xdr:oneCellAnchor>
    <xdr:from>
      <xdr:col>0</xdr:col>
      <xdr:colOff>493059</xdr:colOff>
      <xdr:row>68</xdr:row>
      <xdr:rowOff>190500</xdr:rowOff>
    </xdr:from>
    <xdr:ext cx="1248917" cy="226766"/>
    <xdr:sp macro="" textlink="">
      <xdr:nvSpPr>
        <xdr:cNvPr id="15" name="TextBox 14"/>
        <xdr:cNvSpPr txBox="1"/>
      </xdr:nvSpPr>
      <xdr:spPr>
        <a:xfrm>
          <a:off x="493059" y="14811375"/>
          <a:ext cx="1248917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Для числа ступеней</a:t>
          </a:r>
        </a:p>
      </xdr:txBody>
    </xdr:sp>
    <xdr:clientData/>
  </xdr:oneCellAnchor>
  <xdr:oneCellAnchor>
    <xdr:from>
      <xdr:col>0</xdr:col>
      <xdr:colOff>78441</xdr:colOff>
      <xdr:row>70</xdr:row>
      <xdr:rowOff>168088</xdr:rowOff>
    </xdr:from>
    <xdr:ext cx="2824133" cy="236214"/>
    <xdr:sp macro="" textlink="">
      <xdr:nvSpPr>
        <xdr:cNvPr id="16" name="TextBox 15"/>
        <xdr:cNvSpPr txBox="1"/>
      </xdr:nvSpPr>
      <xdr:spPr>
        <a:xfrm>
          <a:off x="78441" y="15189013"/>
          <a:ext cx="2824133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Найдем напор насоса на реальной жидкости</a:t>
          </a:r>
        </a:p>
      </xdr:txBody>
    </xdr:sp>
    <xdr:clientData/>
  </xdr:oneCellAnchor>
  <xdr:oneCellAnchor>
    <xdr:from>
      <xdr:col>0</xdr:col>
      <xdr:colOff>145676</xdr:colOff>
      <xdr:row>74</xdr:row>
      <xdr:rowOff>145677</xdr:rowOff>
    </xdr:from>
    <xdr:ext cx="6736477" cy="427291"/>
    <xdr:sp macro="" textlink="">
      <xdr:nvSpPr>
        <xdr:cNvPr id="17" name="TextBox 16"/>
        <xdr:cNvSpPr txBox="1"/>
      </xdr:nvSpPr>
      <xdr:spPr>
        <a:xfrm>
          <a:off x="145676" y="15966702"/>
          <a:ext cx="6736477" cy="427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Так как вязкость жидкости не превышает 3 сантипуаз,   то пересчет по вязкости жидкости не требуется.</a:t>
          </a:r>
        </a:p>
        <a:p>
          <a:r>
            <a:rPr lang="ru-RU" sz="1100"/>
            <a:t>Для совмещения характеристик насоса и скважины определим число ступеней, которое нужно снять с насоса:</a:t>
          </a:r>
        </a:p>
      </xdr:txBody>
    </xdr:sp>
    <xdr:clientData/>
  </xdr:oneCellAnchor>
  <xdr:oneCellAnchor>
    <xdr:from>
      <xdr:col>0</xdr:col>
      <xdr:colOff>44823</xdr:colOff>
      <xdr:row>79</xdr:row>
      <xdr:rowOff>190500</xdr:rowOff>
    </xdr:from>
    <xdr:ext cx="5702325" cy="226766"/>
    <xdr:sp macro="" textlink="">
      <xdr:nvSpPr>
        <xdr:cNvPr id="18" name="TextBox 17"/>
        <xdr:cNvSpPr txBox="1"/>
      </xdr:nvSpPr>
      <xdr:spPr>
        <a:xfrm>
          <a:off x="44823" y="17011650"/>
          <a:ext cx="5702325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Следовательно, насос должен иметь 227 ступени, вместо снятых устанавливаются проставки.  </a:t>
          </a:r>
        </a:p>
      </xdr:txBody>
    </xdr:sp>
    <xdr:clientData/>
  </xdr:oneCellAnchor>
  <xdr:oneCellAnchor>
    <xdr:from>
      <xdr:col>0</xdr:col>
      <xdr:colOff>89647</xdr:colOff>
      <xdr:row>81</xdr:row>
      <xdr:rowOff>44824</xdr:rowOff>
    </xdr:from>
    <xdr:ext cx="2318847" cy="236214"/>
    <xdr:sp macro="" textlink="">
      <xdr:nvSpPr>
        <xdr:cNvPr id="19" name="TextBox 18"/>
        <xdr:cNvSpPr txBox="1"/>
      </xdr:nvSpPr>
      <xdr:spPr>
        <a:xfrm>
          <a:off x="89647" y="17266024"/>
          <a:ext cx="2318847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Напор одной ступени составит 5,64 м</a:t>
          </a:r>
        </a:p>
      </xdr:txBody>
    </xdr:sp>
    <xdr:clientData/>
  </xdr:oneCellAnchor>
  <xdr:oneCellAnchor>
    <xdr:from>
      <xdr:col>0</xdr:col>
      <xdr:colOff>168089</xdr:colOff>
      <xdr:row>81</xdr:row>
      <xdr:rowOff>112059</xdr:rowOff>
    </xdr:from>
    <xdr:ext cx="9300546" cy="226766"/>
    <xdr:sp macro="" textlink="">
      <xdr:nvSpPr>
        <xdr:cNvPr id="20" name="TextBox 19"/>
        <xdr:cNvSpPr txBox="1"/>
      </xdr:nvSpPr>
      <xdr:spPr>
        <a:xfrm>
          <a:off x="168089" y="17533284"/>
          <a:ext cx="930054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При установке штуцера на выкиде из скважины мы совмещаем напоры ЭЦН и скважины, но уменьшаем подачу ЭЦН, одновременно уменьшая его КПД.</a:t>
          </a:r>
        </a:p>
      </xdr:txBody>
    </xdr:sp>
    <xdr:clientData/>
  </xdr:oneCellAnchor>
  <xdr:oneCellAnchor>
    <xdr:from>
      <xdr:col>0</xdr:col>
      <xdr:colOff>179295</xdr:colOff>
      <xdr:row>83</xdr:row>
      <xdr:rowOff>156882</xdr:rowOff>
    </xdr:from>
    <xdr:ext cx="2417818" cy="236214"/>
    <xdr:sp macro="" textlink="">
      <xdr:nvSpPr>
        <xdr:cNvPr id="21" name="TextBox 20"/>
        <xdr:cNvSpPr txBox="1"/>
      </xdr:nvSpPr>
      <xdr:spPr>
        <a:xfrm>
          <a:off x="179295" y="17778132"/>
          <a:ext cx="2417818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Полезная мощность электродвигателя</a:t>
          </a:r>
        </a:p>
      </xdr:txBody>
    </xdr:sp>
    <xdr:clientData/>
  </xdr:oneCellAnchor>
  <xdr:oneCellAnchor>
    <xdr:from>
      <xdr:col>0</xdr:col>
      <xdr:colOff>100853</xdr:colOff>
      <xdr:row>88</xdr:row>
      <xdr:rowOff>131670</xdr:rowOff>
    </xdr:from>
    <xdr:ext cx="10274970" cy="236214"/>
    <xdr:sp macro="" textlink="">
      <xdr:nvSpPr>
        <xdr:cNvPr id="22" name="TextBox 21"/>
        <xdr:cNvSpPr txBox="1"/>
      </xdr:nvSpPr>
      <xdr:spPr>
        <a:xfrm>
          <a:off x="100853" y="18953070"/>
          <a:ext cx="10274970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Учитывая, что КПД передачи от двигателя до насоса (через протектор) составляет 0,92 ÷ 0,95 (подшипники скольжения), определим необходимую мощность двигателя:</a:t>
          </a:r>
        </a:p>
      </xdr:txBody>
    </xdr:sp>
    <xdr:clientData/>
  </xdr:oneCellAnchor>
  <xdr:oneCellAnchor>
    <xdr:from>
      <xdr:col>0</xdr:col>
      <xdr:colOff>56030</xdr:colOff>
      <xdr:row>90</xdr:row>
      <xdr:rowOff>179294</xdr:rowOff>
    </xdr:from>
    <xdr:ext cx="2749770" cy="226766"/>
    <xdr:sp macro="" textlink="">
      <xdr:nvSpPr>
        <xdr:cNvPr id="23" name="TextBox 22"/>
        <xdr:cNvSpPr txBox="1"/>
      </xdr:nvSpPr>
      <xdr:spPr>
        <a:xfrm>
          <a:off x="56030" y="19200719"/>
          <a:ext cx="2749770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КПД передачи от двигателя до насоса= 0,92</a:t>
          </a:r>
        </a:p>
      </xdr:txBody>
    </xdr:sp>
    <xdr:clientData/>
  </xdr:oneCellAnchor>
  <xdr:oneCellAnchor>
    <xdr:from>
      <xdr:col>0</xdr:col>
      <xdr:colOff>145676</xdr:colOff>
      <xdr:row>94</xdr:row>
      <xdr:rowOff>134471</xdr:rowOff>
    </xdr:from>
    <xdr:ext cx="3496071" cy="236214"/>
    <xdr:sp macro="" textlink="">
      <xdr:nvSpPr>
        <xdr:cNvPr id="24" name="TextBox 23"/>
        <xdr:cNvSpPr txBox="1"/>
      </xdr:nvSpPr>
      <xdr:spPr>
        <a:xfrm>
          <a:off x="145676" y="19965521"/>
          <a:ext cx="3496071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Ближайший больший типоразмер выбираем по табл. 5.3. </a:t>
          </a:r>
        </a:p>
      </xdr:txBody>
    </xdr:sp>
    <xdr:clientData/>
  </xdr:oneCellAnchor>
  <xdr:oneCellAnchor>
    <xdr:from>
      <xdr:col>0</xdr:col>
      <xdr:colOff>0</xdr:colOff>
      <xdr:row>128</xdr:row>
      <xdr:rowOff>178593</xdr:rowOff>
    </xdr:from>
    <xdr:ext cx="171216" cy="226766"/>
    <xdr:sp macro="" textlink="">
      <xdr:nvSpPr>
        <xdr:cNvPr id="43" name="TextBox 42"/>
        <xdr:cNvSpPr txBox="1"/>
      </xdr:nvSpPr>
      <xdr:spPr>
        <a:xfrm>
          <a:off x="0" y="1397793"/>
          <a:ext cx="171216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</a:t>
          </a:r>
        </a:p>
      </xdr:txBody>
    </xdr:sp>
    <xdr:clientData/>
  </xdr:oneCellAnchor>
  <xdr:oneCellAnchor>
    <xdr:from>
      <xdr:col>0</xdr:col>
      <xdr:colOff>1000125</xdr:colOff>
      <xdr:row>130</xdr:row>
      <xdr:rowOff>166688</xdr:rowOff>
    </xdr:from>
    <xdr:ext cx="1684830" cy="236214"/>
    <xdr:sp macro="" textlink="">
      <xdr:nvSpPr>
        <xdr:cNvPr id="44" name="TextBox 43"/>
        <xdr:cNvSpPr txBox="1"/>
      </xdr:nvSpPr>
      <xdr:spPr>
        <a:xfrm>
          <a:off x="1000125" y="1785938"/>
          <a:ext cx="1684830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Из данных к расчету То = </a:t>
          </a:r>
        </a:p>
      </xdr:txBody>
    </xdr:sp>
    <xdr:clientData/>
  </xdr:oneCellAnchor>
  <xdr:oneCellAnchor>
    <xdr:from>
      <xdr:col>0</xdr:col>
      <xdr:colOff>0</xdr:colOff>
      <xdr:row>132</xdr:row>
      <xdr:rowOff>190500</xdr:rowOff>
    </xdr:from>
    <xdr:ext cx="3012181" cy="236214"/>
    <xdr:sp macro="" textlink="">
      <xdr:nvSpPr>
        <xdr:cNvPr id="45" name="TextBox 44"/>
        <xdr:cNvSpPr txBox="1"/>
      </xdr:nvSpPr>
      <xdr:spPr>
        <a:xfrm>
          <a:off x="0" y="2209800"/>
          <a:ext cx="3012181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Принимая газосодержание на приеме </a:t>
          </a:r>
          <a:r>
            <a:rPr lang="el-GR" sz="1100"/>
            <a:t>β =</a:t>
          </a:r>
          <a:r>
            <a:rPr lang="ru-RU" sz="1100"/>
            <a:t>0,25</a:t>
          </a:r>
        </a:p>
      </xdr:txBody>
    </xdr:sp>
    <xdr:clientData/>
  </xdr:oneCellAnchor>
  <xdr:oneCellAnchor>
    <xdr:from>
      <xdr:col>0</xdr:col>
      <xdr:colOff>130969</xdr:colOff>
      <xdr:row>135</xdr:row>
      <xdr:rowOff>95250</xdr:rowOff>
    </xdr:from>
    <xdr:ext cx="7276075" cy="236214"/>
    <xdr:sp macro="" textlink="">
      <xdr:nvSpPr>
        <xdr:cNvPr id="46" name="TextBox 45"/>
        <xdr:cNvSpPr txBox="1"/>
      </xdr:nvSpPr>
      <xdr:spPr>
        <a:xfrm>
          <a:off x="130969" y="2714625"/>
          <a:ext cx="7276075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 графикам [19, рис. 13] найдем псевдокритические давления и температуру по относительной плотности газа:</a:t>
          </a:r>
        </a:p>
      </xdr:txBody>
    </xdr:sp>
    <xdr:clientData/>
  </xdr:oneCellAnchor>
  <xdr:oneCellAnchor>
    <xdr:from>
      <xdr:col>0</xdr:col>
      <xdr:colOff>130969</xdr:colOff>
      <xdr:row>139</xdr:row>
      <xdr:rowOff>176212</xdr:rowOff>
    </xdr:from>
    <xdr:ext cx="4138372" cy="226766"/>
    <xdr:sp macro="" textlink="">
      <xdr:nvSpPr>
        <xdr:cNvPr id="47" name="TextBox 46"/>
        <xdr:cNvSpPr txBox="1"/>
      </xdr:nvSpPr>
      <xdr:spPr>
        <a:xfrm>
          <a:off x="130969" y="3595687"/>
          <a:ext cx="4138372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Принимая предварительно давление на приеме насоса  5 МПа</a:t>
          </a:r>
        </a:p>
      </xdr:txBody>
    </xdr:sp>
    <xdr:clientData/>
  </xdr:oneCellAnchor>
  <xdr:oneCellAnchor>
    <xdr:from>
      <xdr:col>0</xdr:col>
      <xdr:colOff>333375</xdr:colOff>
      <xdr:row>140</xdr:row>
      <xdr:rowOff>130969</xdr:rowOff>
    </xdr:from>
    <xdr:ext cx="3127986" cy="236214"/>
    <xdr:sp macro="" textlink="">
      <xdr:nvSpPr>
        <xdr:cNvPr id="48" name="TextBox 47"/>
        <xdr:cNvSpPr txBox="1"/>
      </xdr:nvSpPr>
      <xdr:spPr>
        <a:xfrm>
          <a:off x="333375" y="3750469"/>
          <a:ext cx="3127986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найдем приведенные давления и температуру:</a:t>
          </a:r>
        </a:p>
      </xdr:txBody>
    </xdr:sp>
    <xdr:clientData/>
  </xdr:oneCellAnchor>
  <xdr:oneCellAnchor>
    <xdr:from>
      <xdr:col>0</xdr:col>
      <xdr:colOff>345281</xdr:colOff>
      <xdr:row>145</xdr:row>
      <xdr:rowOff>35720</xdr:rowOff>
    </xdr:from>
    <xdr:ext cx="4627282" cy="236214"/>
    <xdr:sp macro="" textlink="">
      <xdr:nvSpPr>
        <xdr:cNvPr id="49" name="TextBox 48"/>
        <xdr:cNvSpPr txBox="1"/>
      </xdr:nvSpPr>
      <xdr:spPr>
        <a:xfrm>
          <a:off x="345281" y="4655345"/>
          <a:ext cx="4627282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Объемный коэффициент нефти найдем, предварительно определив </a:t>
          </a:r>
          <a:r>
            <a:rPr lang="el-GR" sz="1100"/>
            <a:t>λ</a:t>
          </a:r>
          <a:r>
            <a:rPr lang="ru-RU" sz="1100"/>
            <a:t>н:</a:t>
          </a:r>
        </a:p>
      </xdr:txBody>
    </xdr:sp>
    <xdr:clientData/>
  </xdr:oneCellAnchor>
  <xdr:oneCellAnchor>
    <xdr:from>
      <xdr:col>0</xdr:col>
      <xdr:colOff>392906</xdr:colOff>
      <xdr:row>154</xdr:row>
      <xdr:rowOff>107157</xdr:rowOff>
    </xdr:from>
    <xdr:ext cx="5815390" cy="237192"/>
    <xdr:sp macro="" textlink="">
      <xdr:nvSpPr>
        <xdr:cNvPr id="50" name="TextBox 49"/>
        <xdr:cNvSpPr txBox="1"/>
      </xdr:nvSpPr>
      <xdr:spPr>
        <a:xfrm>
          <a:off x="392906" y="6527007"/>
          <a:ext cx="5815390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Учитывая найденное давление на приёме насоса, вновь найдем приведенное давление:</a:t>
          </a:r>
        </a:p>
      </xdr:txBody>
    </xdr:sp>
    <xdr:clientData/>
  </xdr:oneCellAnchor>
  <xdr:oneCellAnchor>
    <xdr:from>
      <xdr:col>1</xdr:col>
      <xdr:colOff>154781</xdr:colOff>
      <xdr:row>164</xdr:row>
      <xdr:rowOff>130968</xdr:rowOff>
    </xdr:from>
    <xdr:ext cx="1090228" cy="236214"/>
    <xdr:sp macro="" textlink="">
      <xdr:nvSpPr>
        <xdr:cNvPr id="51" name="TextBox 50"/>
        <xdr:cNvSpPr txBox="1"/>
      </xdr:nvSpPr>
      <xdr:spPr>
        <a:xfrm>
          <a:off x="1221581" y="8551068"/>
          <a:ext cx="1090228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Определим </a:t>
          </a:r>
          <a:r>
            <a:rPr lang="el-GR" sz="1100"/>
            <a:t>ρ</a:t>
          </a:r>
          <a:r>
            <a:rPr lang="ru-RU" sz="1100"/>
            <a:t>см</a:t>
          </a:r>
        </a:p>
      </xdr:txBody>
    </xdr:sp>
    <xdr:clientData/>
  </xdr:oneCellAnchor>
  <xdr:oneCellAnchor>
    <xdr:from>
      <xdr:col>0</xdr:col>
      <xdr:colOff>452438</xdr:colOff>
      <xdr:row>168</xdr:row>
      <xdr:rowOff>83344</xdr:rowOff>
    </xdr:from>
    <xdr:ext cx="4110964" cy="236214"/>
    <xdr:sp macro="" textlink="">
      <xdr:nvSpPr>
        <xdr:cNvPr id="52" name="TextBox 51"/>
        <xdr:cNvSpPr txBox="1"/>
      </xdr:nvSpPr>
      <xdr:spPr>
        <a:xfrm>
          <a:off x="452438" y="9303544"/>
          <a:ext cx="411096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Найдем глубину погружения насоса под динамический уровень</a:t>
          </a:r>
        </a:p>
      </xdr:txBody>
    </xdr:sp>
    <xdr:clientData/>
  </xdr:oneCellAnchor>
  <xdr:oneCellAnchor>
    <xdr:from>
      <xdr:col>2</xdr:col>
      <xdr:colOff>11906</xdr:colOff>
      <xdr:row>172</xdr:row>
      <xdr:rowOff>190500</xdr:rowOff>
    </xdr:from>
    <xdr:ext cx="1675464" cy="236214"/>
    <xdr:sp macro="" textlink="">
      <xdr:nvSpPr>
        <xdr:cNvPr id="53" name="TextBox 52"/>
        <xdr:cNvSpPr txBox="1"/>
      </xdr:nvSpPr>
      <xdr:spPr>
        <a:xfrm>
          <a:off x="1859756" y="10210800"/>
          <a:ext cx="167546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Глубина спуска насоса </a:t>
          </a:r>
          <a:r>
            <a:rPr lang="en-US" sz="1100"/>
            <a:t>L=</a:t>
          </a:r>
          <a:endParaRPr lang="ru-RU" sz="1100"/>
        </a:p>
      </xdr:txBody>
    </xdr:sp>
    <xdr:clientData/>
  </xdr:oneCellAnchor>
  <xdr:oneCellAnchor>
    <xdr:from>
      <xdr:col>0</xdr:col>
      <xdr:colOff>547688</xdr:colOff>
      <xdr:row>174</xdr:row>
      <xdr:rowOff>142875</xdr:rowOff>
    </xdr:from>
    <xdr:ext cx="3273592" cy="237192"/>
    <xdr:sp macro="" textlink="">
      <xdr:nvSpPr>
        <xdr:cNvPr id="54" name="TextBox 53"/>
        <xdr:cNvSpPr txBox="1"/>
      </xdr:nvSpPr>
      <xdr:spPr>
        <a:xfrm>
          <a:off x="547688" y="10563225"/>
          <a:ext cx="3273592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Высоту подъема жидкости расширяющимся газом</a:t>
          </a:r>
        </a:p>
      </xdr:txBody>
    </xdr:sp>
    <xdr:clientData/>
  </xdr:oneCellAnchor>
  <xdr:oneCellAnchor>
    <xdr:from>
      <xdr:col>0</xdr:col>
      <xdr:colOff>35719</xdr:colOff>
      <xdr:row>182</xdr:row>
      <xdr:rowOff>59532</xdr:rowOff>
    </xdr:from>
    <xdr:ext cx="6390070" cy="237192"/>
    <xdr:sp macro="" textlink="">
      <xdr:nvSpPr>
        <xdr:cNvPr id="55" name="TextBox 54"/>
        <xdr:cNvSpPr txBox="1"/>
      </xdr:nvSpPr>
      <xdr:spPr>
        <a:xfrm>
          <a:off x="35719" y="12080082"/>
          <a:ext cx="6390070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Таким образом, необходимый напор ЭЦН может быть снижен за счет полезной работы газа в НКТ:</a:t>
          </a:r>
        </a:p>
      </xdr:txBody>
    </xdr:sp>
    <xdr:clientData/>
  </xdr:oneCellAnchor>
  <xdr:oneCellAnchor>
    <xdr:from>
      <xdr:col>1</xdr:col>
      <xdr:colOff>202405</xdr:colOff>
      <xdr:row>185</xdr:row>
      <xdr:rowOff>119063</xdr:rowOff>
    </xdr:from>
    <xdr:ext cx="3989946" cy="235164"/>
    <xdr:sp macro="" textlink="">
      <xdr:nvSpPr>
        <xdr:cNvPr id="56" name="TextBox 55"/>
        <xdr:cNvSpPr txBox="1"/>
      </xdr:nvSpPr>
      <xdr:spPr>
        <a:xfrm>
          <a:off x="1269205" y="12739688"/>
          <a:ext cx="3989946" cy="2351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с коэффициентом 0,7 с учетом падения пластового давления:</a:t>
          </a:r>
        </a:p>
      </xdr:txBody>
    </xdr:sp>
    <xdr:clientData/>
  </xdr:oneCellAnchor>
  <xdr:oneCellAnchor>
    <xdr:from>
      <xdr:col>0</xdr:col>
      <xdr:colOff>0</xdr:colOff>
      <xdr:row>129</xdr:row>
      <xdr:rowOff>71437</xdr:rowOff>
    </xdr:from>
    <xdr:ext cx="7932988" cy="226766"/>
    <xdr:sp macro="" textlink="">
      <xdr:nvSpPr>
        <xdr:cNvPr id="57" name="TextBox 1"/>
        <xdr:cNvSpPr txBox="1"/>
      </xdr:nvSpPr>
      <xdr:spPr>
        <a:xfrm>
          <a:off x="0" y="1490662"/>
          <a:ext cx="7932988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Определим давление на приеме по формуле (5.17). Из рекомендаций [16] для колонн  диаметром 140 мм примем </a:t>
          </a:r>
          <a:r>
            <a:rPr lang="el-GR" sz="1100"/>
            <a:t>σ = </a:t>
          </a:r>
          <a:r>
            <a:rPr lang="ru-RU" sz="1100"/>
            <a:t>0,15</a:t>
          </a:r>
        </a:p>
      </xdr:txBody>
    </xdr:sp>
    <xdr:clientData/>
  </xdr:oneCellAnchor>
  <xdr:oneCellAnchor>
    <xdr:from>
      <xdr:col>0</xdr:col>
      <xdr:colOff>154781</xdr:colOff>
      <xdr:row>193</xdr:row>
      <xdr:rowOff>95250</xdr:rowOff>
    </xdr:from>
    <xdr:ext cx="4004157" cy="236214"/>
    <xdr:sp macro="" textlink="">
      <xdr:nvSpPr>
        <xdr:cNvPr id="69" name="TextBox 68"/>
        <xdr:cNvSpPr txBox="1"/>
      </xdr:nvSpPr>
      <xdr:spPr>
        <a:xfrm>
          <a:off x="154781" y="1657350"/>
          <a:ext cx="4004157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 табл. 5.3 определим основные характеристики двигателя:</a:t>
          </a:r>
        </a:p>
      </xdr:txBody>
    </xdr:sp>
    <xdr:clientData/>
  </xdr:oneCellAnchor>
  <xdr:oneCellAnchor>
    <xdr:from>
      <xdr:col>0</xdr:col>
      <xdr:colOff>142875</xdr:colOff>
      <xdr:row>198</xdr:row>
      <xdr:rowOff>80962</xdr:rowOff>
    </xdr:from>
    <xdr:ext cx="1788798" cy="226766"/>
    <xdr:sp macro="" textlink="">
      <xdr:nvSpPr>
        <xdr:cNvPr id="70" name="TextBox 69"/>
        <xdr:cNvSpPr txBox="1"/>
      </xdr:nvSpPr>
      <xdr:spPr>
        <a:xfrm>
          <a:off x="142875" y="3071812"/>
          <a:ext cx="1788798" cy="2267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определим сечение жилы:</a:t>
          </a:r>
        </a:p>
      </xdr:txBody>
    </xdr:sp>
    <xdr:clientData/>
  </xdr:oneCellAnchor>
  <xdr:oneCellAnchor>
    <xdr:from>
      <xdr:col>0</xdr:col>
      <xdr:colOff>95250</xdr:colOff>
      <xdr:row>202</xdr:row>
      <xdr:rowOff>190499</xdr:rowOff>
    </xdr:from>
    <xdr:ext cx="7096125" cy="609013"/>
    <xdr:sp macro="" textlink="">
      <xdr:nvSpPr>
        <xdr:cNvPr id="71" name="TextBox 70"/>
        <xdr:cNvSpPr txBox="1"/>
      </xdr:nvSpPr>
      <xdr:spPr>
        <a:xfrm>
          <a:off x="95250" y="3981449"/>
          <a:ext cx="70961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/>
            <a:t>Учитывая, что в жидкости имеется растворенный газ, выберем кабель с полиэтиленовой изоляцией (табл. 5.5) КПБК 3 </a:t>
          </a:r>
          <a:r>
            <a:rPr lang="en-US" sz="1100"/>
            <a:t>x 10 </a:t>
          </a:r>
          <a:r>
            <a:rPr lang="ru-RU" sz="1100"/>
            <a:t>мм и КПБП 3 </a:t>
          </a:r>
          <a:r>
            <a:rPr lang="en-US" sz="1100"/>
            <a:t>x 10 </a:t>
          </a:r>
          <a:r>
            <a:rPr lang="ru-RU" sz="1100"/>
            <a:t>мм с рабочим напряжением 2500 В, допустимым давлением до 25 МПа и температурой до 90°С </a:t>
          </a:r>
        </a:p>
      </xdr:txBody>
    </xdr:sp>
    <xdr:clientData/>
  </xdr:oneCellAnchor>
  <xdr:oneCellAnchor>
    <xdr:from>
      <xdr:col>0</xdr:col>
      <xdr:colOff>178595</xdr:colOff>
      <xdr:row>207</xdr:row>
      <xdr:rowOff>1</xdr:rowOff>
    </xdr:from>
    <xdr:ext cx="977582" cy="236214"/>
    <xdr:sp macro="" textlink="">
      <xdr:nvSpPr>
        <xdr:cNvPr id="72" name="TextBox 71"/>
        <xdr:cNvSpPr txBox="1"/>
      </xdr:nvSpPr>
      <xdr:spPr>
        <a:xfrm>
          <a:off x="178595" y="4905376"/>
          <a:ext cx="977582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Длина кабеля</a:t>
          </a:r>
        </a:p>
      </xdr:txBody>
    </xdr:sp>
    <xdr:clientData/>
  </xdr:oneCellAnchor>
  <xdr:oneCellAnchor>
    <xdr:from>
      <xdr:col>0</xdr:col>
      <xdr:colOff>95250</xdr:colOff>
      <xdr:row>209</xdr:row>
      <xdr:rowOff>59530</xdr:rowOff>
    </xdr:from>
    <xdr:ext cx="1558363" cy="236214"/>
    <xdr:sp macro="" textlink="">
      <xdr:nvSpPr>
        <xdr:cNvPr id="73" name="TextBox 72"/>
        <xdr:cNvSpPr txBox="1"/>
      </xdr:nvSpPr>
      <xdr:spPr>
        <a:xfrm>
          <a:off x="95250" y="5364955"/>
          <a:ext cx="1558363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Сопротивление кабеля</a:t>
          </a:r>
        </a:p>
      </xdr:txBody>
    </xdr:sp>
    <xdr:clientData/>
  </xdr:oneCellAnchor>
  <xdr:oneCellAnchor>
    <xdr:from>
      <xdr:col>0</xdr:col>
      <xdr:colOff>0</xdr:colOff>
      <xdr:row>212</xdr:row>
      <xdr:rowOff>142876</xdr:rowOff>
    </xdr:from>
    <xdr:ext cx="1840534" cy="236214"/>
    <xdr:sp macro="" textlink="">
      <xdr:nvSpPr>
        <xdr:cNvPr id="74" name="TextBox 73"/>
        <xdr:cNvSpPr txBox="1"/>
      </xdr:nvSpPr>
      <xdr:spPr>
        <a:xfrm>
          <a:off x="0" y="6048376"/>
          <a:ext cx="184053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Потери мощности в кабеле</a:t>
          </a:r>
        </a:p>
      </xdr:txBody>
    </xdr:sp>
    <xdr:clientData/>
  </xdr:oneCellAnchor>
  <xdr:oneCellAnchor>
    <xdr:from>
      <xdr:col>0</xdr:col>
      <xdr:colOff>107156</xdr:colOff>
      <xdr:row>215</xdr:row>
      <xdr:rowOff>35719</xdr:rowOff>
    </xdr:from>
    <xdr:ext cx="1887222" cy="236214"/>
    <xdr:sp macro="" textlink="">
      <xdr:nvSpPr>
        <xdr:cNvPr id="75" name="TextBox 74"/>
        <xdr:cNvSpPr txBox="1"/>
      </xdr:nvSpPr>
      <xdr:spPr>
        <a:xfrm>
          <a:off x="107156" y="6541294"/>
          <a:ext cx="1887222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Мощность трансформатора</a:t>
          </a:r>
        </a:p>
      </xdr:txBody>
    </xdr:sp>
    <xdr:clientData/>
  </xdr:oneCellAnchor>
  <xdr:oneCellAnchor>
    <xdr:from>
      <xdr:col>0</xdr:col>
      <xdr:colOff>71438</xdr:colOff>
      <xdr:row>219</xdr:row>
      <xdr:rowOff>0</xdr:rowOff>
    </xdr:from>
    <xdr:ext cx="2076136" cy="236214"/>
    <xdr:sp macro="" textlink="">
      <xdr:nvSpPr>
        <xdr:cNvPr id="76" name="TextBox 75"/>
        <xdr:cNvSpPr txBox="1"/>
      </xdr:nvSpPr>
      <xdr:spPr>
        <a:xfrm>
          <a:off x="71438" y="7305675"/>
          <a:ext cx="2076136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Падение напряжения в кабеле</a:t>
          </a:r>
        </a:p>
      </xdr:txBody>
    </xdr:sp>
    <xdr:clientData/>
  </xdr:oneCellAnchor>
  <xdr:oneCellAnchor>
    <xdr:from>
      <xdr:col>0</xdr:col>
      <xdr:colOff>59531</xdr:colOff>
      <xdr:row>222</xdr:row>
      <xdr:rowOff>154782</xdr:rowOff>
    </xdr:from>
    <xdr:ext cx="3517144" cy="237192"/>
    <xdr:sp macro="" textlink="">
      <xdr:nvSpPr>
        <xdr:cNvPr id="77" name="TextBox 76"/>
        <xdr:cNvSpPr txBox="1"/>
      </xdr:nvSpPr>
      <xdr:spPr>
        <a:xfrm>
          <a:off x="59531" y="8060532"/>
          <a:ext cx="3517144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Напряжение на вторичной обмотке трансформатора</a:t>
          </a:r>
        </a:p>
      </xdr:txBody>
    </xdr:sp>
    <xdr:clientData/>
  </xdr:oneCellAnchor>
  <xdr:oneCellAnchor>
    <xdr:from>
      <xdr:col>0</xdr:col>
      <xdr:colOff>190500</xdr:colOff>
      <xdr:row>226</xdr:row>
      <xdr:rowOff>0</xdr:rowOff>
    </xdr:from>
    <xdr:ext cx="10410793" cy="237192"/>
    <xdr:sp macro="" textlink="">
      <xdr:nvSpPr>
        <xdr:cNvPr id="78" name="TextBox 77"/>
        <xdr:cNvSpPr txBox="1"/>
      </xdr:nvSpPr>
      <xdr:spPr>
        <a:xfrm>
          <a:off x="190500" y="8705850"/>
          <a:ext cx="10410793" cy="237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Этому условию удовлетворяет трансформатор ТСБЗ-100 с пределами регулирования во вторичной обмотке 900 - 1300 В и мощностью 84,5 кВт на отпайке 1200 В.</a:t>
          </a:r>
        </a:p>
      </xdr:txBody>
    </xdr:sp>
    <xdr:clientData/>
  </xdr:oneCellAnchor>
  <xdr:oneCellAnchor>
    <xdr:from>
      <xdr:col>0</xdr:col>
      <xdr:colOff>250031</xdr:colOff>
      <xdr:row>227</xdr:row>
      <xdr:rowOff>47625</xdr:rowOff>
    </xdr:from>
    <xdr:ext cx="2520039" cy="236214"/>
    <xdr:sp macro="" textlink="">
      <xdr:nvSpPr>
        <xdr:cNvPr id="79" name="TextBox 78"/>
        <xdr:cNvSpPr txBox="1"/>
      </xdr:nvSpPr>
      <xdr:spPr>
        <a:xfrm>
          <a:off x="250031" y="8953500"/>
          <a:ext cx="2520039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Определим габаритный размер </a:t>
          </a:r>
          <a:r>
            <a:rPr lang="en-US" sz="1100"/>
            <a:t>Dmax</a:t>
          </a:r>
          <a:endParaRPr lang="ru-RU" sz="1100"/>
        </a:p>
      </xdr:txBody>
    </xdr:sp>
    <xdr:clientData/>
  </xdr:oneCellAnchor>
  <xdr:oneCellAnchor>
    <xdr:from>
      <xdr:col>0</xdr:col>
      <xdr:colOff>83344</xdr:colOff>
      <xdr:row>230</xdr:row>
      <xdr:rowOff>178594</xdr:rowOff>
    </xdr:from>
    <xdr:ext cx="2623360" cy="228069"/>
    <xdr:sp macro="" textlink="">
      <xdr:nvSpPr>
        <xdr:cNvPr id="80" name="TextBox 79"/>
        <xdr:cNvSpPr txBox="1"/>
      </xdr:nvSpPr>
      <xdr:spPr>
        <a:xfrm>
          <a:off x="83344" y="9684544"/>
          <a:ext cx="2623360" cy="228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Габаритный размер </a:t>
          </a:r>
          <a:r>
            <a:rPr lang="en-US" sz="1100"/>
            <a:t>Amax </a:t>
          </a:r>
          <a:r>
            <a:rPr lang="ru-RU" sz="1100"/>
            <a:t>с учетом НКТ</a:t>
          </a:r>
        </a:p>
      </xdr:txBody>
    </xdr:sp>
    <xdr:clientData/>
  </xdr:oneCellAnchor>
  <xdr:oneCellAnchor>
    <xdr:from>
      <xdr:col>0</xdr:col>
      <xdr:colOff>0</xdr:colOff>
      <xdr:row>234</xdr:row>
      <xdr:rowOff>128587</xdr:rowOff>
    </xdr:from>
    <xdr:ext cx="4875142" cy="228069"/>
    <xdr:sp macro="" textlink="">
      <xdr:nvSpPr>
        <xdr:cNvPr id="81" name="TextBox 80"/>
        <xdr:cNvSpPr txBox="1"/>
      </xdr:nvSpPr>
      <xdr:spPr>
        <a:xfrm>
          <a:off x="0" y="10434637"/>
          <a:ext cx="4875142" cy="228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Т.к. </a:t>
          </a:r>
          <a:r>
            <a:rPr lang="en-US" sz="1100"/>
            <a:t>Dmax &lt; Amax, </a:t>
          </a:r>
          <a:r>
            <a:rPr lang="ru-RU" sz="1100"/>
            <a:t>то первые 100 м после насоса устанавливаем НКТ 48 мм</a:t>
          </a:r>
        </a:p>
      </xdr:txBody>
    </xdr:sp>
    <xdr:clientData/>
  </xdr:oneCellAnchor>
  <xdr:oneCellAnchor>
    <xdr:from>
      <xdr:col>0</xdr:col>
      <xdr:colOff>142874</xdr:colOff>
      <xdr:row>235</xdr:row>
      <xdr:rowOff>202405</xdr:rowOff>
    </xdr:from>
    <xdr:ext cx="2623360" cy="236214"/>
    <xdr:sp macro="" textlink="">
      <xdr:nvSpPr>
        <xdr:cNvPr id="82" name="TextBox 81"/>
        <xdr:cNvSpPr txBox="1"/>
      </xdr:nvSpPr>
      <xdr:spPr>
        <a:xfrm>
          <a:off x="142874" y="10708480"/>
          <a:ext cx="2623360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Габаритный размер </a:t>
          </a:r>
          <a:r>
            <a:rPr lang="en-US" sz="1100"/>
            <a:t>Amax </a:t>
          </a:r>
          <a:r>
            <a:rPr lang="ru-RU" sz="1100"/>
            <a:t>с учетом НКТ</a:t>
          </a:r>
        </a:p>
      </xdr:txBody>
    </xdr:sp>
    <xdr:clientData/>
  </xdr:oneCellAnchor>
  <xdr:oneCellAnchor>
    <xdr:from>
      <xdr:col>0</xdr:col>
      <xdr:colOff>59532</xdr:colOff>
      <xdr:row>239</xdr:row>
      <xdr:rowOff>202405</xdr:rowOff>
    </xdr:from>
    <xdr:ext cx="5182854" cy="236214"/>
    <xdr:sp macro="" textlink="">
      <xdr:nvSpPr>
        <xdr:cNvPr id="83" name="TextBox 82"/>
        <xdr:cNvSpPr txBox="1"/>
      </xdr:nvSpPr>
      <xdr:spPr>
        <a:xfrm>
          <a:off x="59532" y="11508580"/>
          <a:ext cx="518285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Скорость движения охлаждающей жидкости в расположении электродвигателя </a:t>
          </a:r>
        </a:p>
      </xdr:txBody>
    </xdr:sp>
    <xdr:clientData/>
  </xdr:oneCellAnchor>
  <xdr:oneCellAnchor>
    <xdr:from>
      <xdr:col>0</xdr:col>
      <xdr:colOff>23813</xdr:colOff>
      <xdr:row>244</xdr:row>
      <xdr:rowOff>35719</xdr:rowOff>
    </xdr:from>
    <xdr:ext cx="8403815" cy="236214"/>
    <xdr:sp macro="" textlink="">
      <xdr:nvSpPr>
        <xdr:cNvPr id="84" name="TextBox 83"/>
        <xdr:cNvSpPr txBox="1"/>
      </xdr:nvSpPr>
      <xdr:spPr>
        <a:xfrm>
          <a:off x="23813" y="12342019"/>
          <a:ext cx="8403815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Полученная скорость превышает необходимую скорость охлаждения (0,08 м/с) по характеристике электродвигателя ПЭД-45-103.</a:t>
          </a:r>
        </a:p>
      </xdr:txBody>
    </xdr:sp>
    <xdr:clientData/>
  </xdr:oneCellAnchor>
  <xdr:oneCellAnchor>
    <xdr:from>
      <xdr:col>0</xdr:col>
      <xdr:colOff>107156</xdr:colOff>
      <xdr:row>245</xdr:row>
      <xdr:rowOff>166688</xdr:rowOff>
    </xdr:from>
    <xdr:ext cx="3001634" cy="236214"/>
    <xdr:sp macro="" textlink="">
      <xdr:nvSpPr>
        <xdr:cNvPr id="85" name="TextBox 84"/>
        <xdr:cNvSpPr txBox="1"/>
      </xdr:nvSpPr>
      <xdr:spPr>
        <a:xfrm>
          <a:off x="107156" y="12673013"/>
          <a:ext cx="3001634" cy="236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Удельный расход электроэнергии определим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85;&#1072;&#1090;&#1077;&#1081;&#1082;&#1080;&#1085;&#1069;&#1062;&#105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эцн 24"/>
      <sheetName val="уэцн 25"/>
      <sheetName val="уэцн 26"/>
      <sheetName val="уэцн 27"/>
    </sheetNames>
    <sheetDataSet>
      <sheetData sheetId="0">
        <row r="51">
          <cell r="A51">
            <v>125</v>
          </cell>
          <cell r="B51">
            <v>1520</v>
          </cell>
        </row>
        <row r="52">
          <cell r="A52">
            <v>160</v>
          </cell>
          <cell r="B52">
            <v>1400</v>
          </cell>
        </row>
        <row r="53">
          <cell r="A53">
            <v>205</v>
          </cell>
          <cell r="B53">
            <v>1000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117" Type="http://schemas.openxmlformats.org/officeDocument/2006/relationships/oleObject" Target="../embeddings/oleObject115.bin"/><Relationship Id="rId21" Type="http://schemas.openxmlformats.org/officeDocument/2006/relationships/oleObject" Target="../embeddings/oleObject19.bin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112" Type="http://schemas.openxmlformats.org/officeDocument/2006/relationships/oleObject" Target="../embeddings/oleObject110.bin"/><Relationship Id="rId133" Type="http://schemas.openxmlformats.org/officeDocument/2006/relationships/oleObject" Target="../embeddings/oleObject131.bin"/><Relationship Id="rId138" Type="http://schemas.openxmlformats.org/officeDocument/2006/relationships/oleObject" Target="../embeddings/oleObject136.bin"/><Relationship Id="rId154" Type="http://schemas.openxmlformats.org/officeDocument/2006/relationships/oleObject" Target="../embeddings/oleObject152.bin"/><Relationship Id="rId16" Type="http://schemas.openxmlformats.org/officeDocument/2006/relationships/oleObject" Target="../embeddings/oleObject14.bin"/><Relationship Id="rId107" Type="http://schemas.openxmlformats.org/officeDocument/2006/relationships/oleObject" Target="../embeddings/oleObject105.bin"/><Relationship Id="rId11" Type="http://schemas.openxmlformats.org/officeDocument/2006/relationships/oleObject" Target="../embeddings/oleObject9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102" Type="http://schemas.openxmlformats.org/officeDocument/2006/relationships/oleObject" Target="../embeddings/oleObject100.bin"/><Relationship Id="rId123" Type="http://schemas.openxmlformats.org/officeDocument/2006/relationships/oleObject" Target="../embeddings/oleObject121.bin"/><Relationship Id="rId128" Type="http://schemas.openxmlformats.org/officeDocument/2006/relationships/oleObject" Target="../embeddings/oleObject126.bin"/><Relationship Id="rId144" Type="http://schemas.openxmlformats.org/officeDocument/2006/relationships/oleObject" Target="../embeddings/oleObject142.bin"/><Relationship Id="rId149" Type="http://schemas.openxmlformats.org/officeDocument/2006/relationships/oleObject" Target="../embeddings/oleObject147.bin"/><Relationship Id="rId5" Type="http://schemas.openxmlformats.org/officeDocument/2006/relationships/oleObject" Target="../embeddings/oleObject3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113" Type="http://schemas.openxmlformats.org/officeDocument/2006/relationships/oleObject" Target="../embeddings/oleObject111.bin"/><Relationship Id="rId118" Type="http://schemas.openxmlformats.org/officeDocument/2006/relationships/oleObject" Target="../embeddings/oleObject116.bin"/><Relationship Id="rId134" Type="http://schemas.openxmlformats.org/officeDocument/2006/relationships/oleObject" Target="../embeddings/oleObject132.bin"/><Relationship Id="rId139" Type="http://schemas.openxmlformats.org/officeDocument/2006/relationships/oleObject" Target="../embeddings/oleObject137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150" Type="http://schemas.openxmlformats.org/officeDocument/2006/relationships/oleObject" Target="../embeddings/oleObject148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103" Type="http://schemas.openxmlformats.org/officeDocument/2006/relationships/oleObject" Target="../embeddings/oleObject101.bin"/><Relationship Id="rId108" Type="http://schemas.openxmlformats.org/officeDocument/2006/relationships/oleObject" Target="../embeddings/oleObject106.bin"/><Relationship Id="rId116" Type="http://schemas.openxmlformats.org/officeDocument/2006/relationships/oleObject" Target="../embeddings/oleObject114.bin"/><Relationship Id="rId124" Type="http://schemas.openxmlformats.org/officeDocument/2006/relationships/oleObject" Target="../embeddings/oleObject122.bin"/><Relationship Id="rId129" Type="http://schemas.openxmlformats.org/officeDocument/2006/relationships/oleObject" Target="../embeddings/oleObject127.bin"/><Relationship Id="rId137" Type="http://schemas.openxmlformats.org/officeDocument/2006/relationships/oleObject" Target="../embeddings/oleObject135.bin"/><Relationship Id="rId20" Type="http://schemas.openxmlformats.org/officeDocument/2006/relationships/oleObject" Target="../embeddings/oleObject18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11" Type="http://schemas.openxmlformats.org/officeDocument/2006/relationships/oleObject" Target="../embeddings/oleObject109.bin"/><Relationship Id="rId132" Type="http://schemas.openxmlformats.org/officeDocument/2006/relationships/oleObject" Target="../embeddings/oleObject130.bin"/><Relationship Id="rId140" Type="http://schemas.openxmlformats.org/officeDocument/2006/relationships/oleObject" Target="../embeddings/oleObject138.bin"/><Relationship Id="rId145" Type="http://schemas.openxmlformats.org/officeDocument/2006/relationships/oleObject" Target="../embeddings/oleObject143.bin"/><Relationship Id="rId153" Type="http://schemas.openxmlformats.org/officeDocument/2006/relationships/oleObject" Target="../embeddings/oleObject151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6" Type="http://schemas.openxmlformats.org/officeDocument/2006/relationships/oleObject" Target="../embeddings/oleObject104.bin"/><Relationship Id="rId114" Type="http://schemas.openxmlformats.org/officeDocument/2006/relationships/oleObject" Target="../embeddings/oleObject112.bin"/><Relationship Id="rId119" Type="http://schemas.openxmlformats.org/officeDocument/2006/relationships/oleObject" Target="../embeddings/oleObject117.bin"/><Relationship Id="rId127" Type="http://schemas.openxmlformats.org/officeDocument/2006/relationships/oleObject" Target="../embeddings/oleObject125.bin"/><Relationship Id="rId10" Type="http://schemas.openxmlformats.org/officeDocument/2006/relationships/oleObject" Target="../embeddings/oleObject8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122" Type="http://schemas.openxmlformats.org/officeDocument/2006/relationships/oleObject" Target="../embeddings/oleObject120.bin"/><Relationship Id="rId130" Type="http://schemas.openxmlformats.org/officeDocument/2006/relationships/oleObject" Target="../embeddings/oleObject128.bin"/><Relationship Id="rId135" Type="http://schemas.openxmlformats.org/officeDocument/2006/relationships/oleObject" Target="../embeddings/oleObject133.bin"/><Relationship Id="rId143" Type="http://schemas.openxmlformats.org/officeDocument/2006/relationships/oleObject" Target="../embeddings/oleObject141.bin"/><Relationship Id="rId148" Type="http://schemas.openxmlformats.org/officeDocument/2006/relationships/oleObject" Target="../embeddings/oleObject146.bin"/><Relationship Id="rId151" Type="http://schemas.openxmlformats.org/officeDocument/2006/relationships/oleObject" Target="../embeddings/oleObject149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9" Type="http://schemas.openxmlformats.org/officeDocument/2006/relationships/oleObject" Target="../embeddings/oleObject37.bin"/><Relationship Id="rId109" Type="http://schemas.openxmlformats.org/officeDocument/2006/relationships/oleObject" Target="../embeddings/oleObject107.bin"/><Relationship Id="rId34" Type="http://schemas.openxmlformats.org/officeDocument/2006/relationships/oleObject" Target="../embeddings/oleObject32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76" Type="http://schemas.openxmlformats.org/officeDocument/2006/relationships/oleObject" Target="../embeddings/oleObject74.bin"/><Relationship Id="rId97" Type="http://schemas.openxmlformats.org/officeDocument/2006/relationships/oleObject" Target="../embeddings/oleObject95.bin"/><Relationship Id="rId104" Type="http://schemas.openxmlformats.org/officeDocument/2006/relationships/oleObject" Target="../embeddings/oleObject102.bin"/><Relationship Id="rId120" Type="http://schemas.openxmlformats.org/officeDocument/2006/relationships/oleObject" Target="../embeddings/oleObject118.bin"/><Relationship Id="rId125" Type="http://schemas.openxmlformats.org/officeDocument/2006/relationships/oleObject" Target="../embeddings/oleObject123.bin"/><Relationship Id="rId141" Type="http://schemas.openxmlformats.org/officeDocument/2006/relationships/oleObject" Target="../embeddings/oleObject139.bin"/><Relationship Id="rId146" Type="http://schemas.openxmlformats.org/officeDocument/2006/relationships/oleObject" Target="../embeddings/oleObject144.bin"/><Relationship Id="rId7" Type="http://schemas.openxmlformats.org/officeDocument/2006/relationships/oleObject" Target="../embeddings/oleObject5.bin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vmlDrawing" Target="../drawings/vmlDrawing1.vml"/><Relationship Id="rId29" Type="http://schemas.openxmlformats.org/officeDocument/2006/relationships/oleObject" Target="../embeddings/oleObject27.bin"/><Relationship Id="rId24" Type="http://schemas.openxmlformats.org/officeDocument/2006/relationships/oleObject" Target="../embeddings/oleObject22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66" Type="http://schemas.openxmlformats.org/officeDocument/2006/relationships/oleObject" Target="../embeddings/oleObject64.bin"/><Relationship Id="rId87" Type="http://schemas.openxmlformats.org/officeDocument/2006/relationships/oleObject" Target="../embeddings/oleObject85.bin"/><Relationship Id="rId110" Type="http://schemas.openxmlformats.org/officeDocument/2006/relationships/oleObject" Target="../embeddings/oleObject108.bin"/><Relationship Id="rId115" Type="http://schemas.openxmlformats.org/officeDocument/2006/relationships/oleObject" Target="../embeddings/oleObject113.bin"/><Relationship Id="rId131" Type="http://schemas.openxmlformats.org/officeDocument/2006/relationships/oleObject" Target="../embeddings/oleObject129.bin"/><Relationship Id="rId136" Type="http://schemas.openxmlformats.org/officeDocument/2006/relationships/oleObject" Target="../embeddings/oleObject134.bin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152" Type="http://schemas.openxmlformats.org/officeDocument/2006/relationships/oleObject" Target="../embeddings/oleObject150.bin"/><Relationship Id="rId19" Type="http://schemas.openxmlformats.org/officeDocument/2006/relationships/oleObject" Target="../embeddings/oleObject17.bin"/><Relationship Id="rId14" Type="http://schemas.openxmlformats.org/officeDocument/2006/relationships/oleObject" Target="../embeddings/oleObject12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56" Type="http://schemas.openxmlformats.org/officeDocument/2006/relationships/oleObject" Target="../embeddings/oleObject54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105" Type="http://schemas.openxmlformats.org/officeDocument/2006/relationships/oleObject" Target="../embeddings/oleObject103.bin"/><Relationship Id="rId126" Type="http://schemas.openxmlformats.org/officeDocument/2006/relationships/oleObject" Target="../embeddings/oleObject124.bin"/><Relationship Id="rId147" Type="http://schemas.openxmlformats.org/officeDocument/2006/relationships/oleObject" Target="../embeddings/oleObject145.bin"/><Relationship Id="rId8" Type="http://schemas.openxmlformats.org/officeDocument/2006/relationships/oleObject" Target="../embeddings/oleObject6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121" Type="http://schemas.openxmlformats.org/officeDocument/2006/relationships/oleObject" Target="../embeddings/oleObject119.bin"/><Relationship Id="rId142" Type="http://schemas.openxmlformats.org/officeDocument/2006/relationships/oleObject" Target="../embeddings/oleObject140.bin"/><Relationship Id="rId3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58.bin"/><Relationship Id="rId13" Type="http://schemas.openxmlformats.org/officeDocument/2006/relationships/oleObject" Target="../embeddings/oleObject163.bin"/><Relationship Id="rId18" Type="http://schemas.openxmlformats.org/officeDocument/2006/relationships/oleObject" Target="../embeddings/oleObject168.bin"/><Relationship Id="rId26" Type="http://schemas.openxmlformats.org/officeDocument/2006/relationships/oleObject" Target="../embeddings/oleObject176.bin"/><Relationship Id="rId39" Type="http://schemas.openxmlformats.org/officeDocument/2006/relationships/oleObject" Target="../embeddings/oleObject189.bin"/><Relationship Id="rId3" Type="http://schemas.openxmlformats.org/officeDocument/2006/relationships/oleObject" Target="../embeddings/oleObject153.bin"/><Relationship Id="rId21" Type="http://schemas.openxmlformats.org/officeDocument/2006/relationships/oleObject" Target="../embeddings/oleObject171.bin"/><Relationship Id="rId34" Type="http://schemas.openxmlformats.org/officeDocument/2006/relationships/oleObject" Target="../embeddings/oleObject184.bin"/><Relationship Id="rId42" Type="http://schemas.openxmlformats.org/officeDocument/2006/relationships/oleObject" Target="../embeddings/oleObject192.bin"/><Relationship Id="rId7" Type="http://schemas.openxmlformats.org/officeDocument/2006/relationships/oleObject" Target="../embeddings/oleObject157.bin"/><Relationship Id="rId12" Type="http://schemas.openxmlformats.org/officeDocument/2006/relationships/oleObject" Target="../embeddings/oleObject162.bin"/><Relationship Id="rId17" Type="http://schemas.openxmlformats.org/officeDocument/2006/relationships/oleObject" Target="../embeddings/oleObject167.bin"/><Relationship Id="rId25" Type="http://schemas.openxmlformats.org/officeDocument/2006/relationships/oleObject" Target="../embeddings/oleObject175.bin"/><Relationship Id="rId33" Type="http://schemas.openxmlformats.org/officeDocument/2006/relationships/oleObject" Target="../embeddings/oleObject183.bin"/><Relationship Id="rId38" Type="http://schemas.openxmlformats.org/officeDocument/2006/relationships/oleObject" Target="../embeddings/oleObject188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166.bin"/><Relationship Id="rId20" Type="http://schemas.openxmlformats.org/officeDocument/2006/relationships/oleObject" Target="../embeddings/oleObject170.bin"/><Relationship Id="rId29" Type="http://schemas.openxmlformats.org/officeDocument/2006/relationships/oleObject" Target="../embeddings/oleObject179.bin"/><Relationship Id="rId41" Type="http://schemas.openxmlformats.org/officeDocument/2006/relationships/oleObject" Target="../embeddings/oleObject191.bin"/><Relationship Id="rId1" Type="http://schemas.openxmlformats.org/officeDocument/2006/relationships/drawing" Target="../drawings/drawing1.xml"/><Relationship Id="rId6" Type="http://schemas.openxmlformats.org/officeDocument/2006/relationships/oleObject" Target="../embeddings/oleObject156.bin"/><Relationship Id="rId11" Type="http://schemas.openxmlformats.org/officeDocument/2006/relationships/oleObject" Target="../embeddings/oleObject161.bin"/><Relationship Id="rId24" Type="http://schemas.openxmlformats.org/officeDocument/2006/relationships/oleObject" Target="../embeddings/oleObject174.bin"/><Relationship Id="rId32" Type="http://schemas.openxmlformats.org/officeDocument/2006/relationships/oleObject" Target="../embeddings/oleObject182.bin"/><Relationship Id="rId37" Type="http://schemas.openxmlformats.org/officeDocument/2006/relationships/oleObject" Target="../embeddings/oleObject187.bin"/><Relationship Id="rId40" Type="http://schemas.openxmlformats.org/officeDocument/2006/relationships/oleObject" Target="../embeddings/oleObject190.bin"/><Relationship Id="rId45" Type="http://schemas.openxmlformats.org/officeDocument/2006/relationships/oleObject" Target="../embeddings/oleObject195.bin"/><Relationship Id="rId5" Type="http://schemas.openxmlformats.org/officeDocument/2006/relationships/oleObject" Target="../embeddings/oleObject155.bin"/><Relationship Id="rId15" Type="http://schemas.openxmlformats.org/officeDocument/2006/relationships/oleObject" Target="../embeddings/oleObject165.bin"/><Relationship Id="rId23" Type="http://schemas.openxmlformats.org/officeDocument/2006/relationships/oleObject" Target="../embeddings/oleObject173.bin"/><Relationship Id="rId28" Type="http://schemas.openxmlformats.org/officeDocument/2006/relationships/oleObject" Target="../embeddings/oleObject178.bin"/><Relationship Id="rId36" Type="http://schemas.openxmlformats.org/officeDocument/2006/relationships/oleObject" Target="../embeddings/oleObject186.bin"/><Relationship Id="rId10" Type="http://schemas.openxmlformats.org/officeDocument/2006/relationships/oleObject" Target="../embeddings/oleObject160.bin"/><Relationship Id="rId19" Type="http://schemas.openxmlformats.org/officeDocument/2006/relationships/oleObject" Target="../embeddings/oleObject169.bin"/><Relationship Id="rId31" Type="http://schemas.openxmlformats.org/officeDocument/2006/relationships/oleObject" Target="../embeddings/oleObject181.bin"/><Relationship Id="rId44" Type="http://schemas.openxmlformats.org/officeDocument/2006/relationships/oleObject" Target="../embeddings/oleObject194.bin"/><Relationship Id="rId4" Type="http://schemas.openxmlformats.org/officeDocument/2006/relationships/oleObject" Target="../embeddings/oleObject154.bin"/><Relationship Id="rId9" Type="http://schemas.openxmlformats.org/officeDocument/2006/relationships/oleObject" Target="../embeddings/oleObject159.bin"/><Relationship Id="rId14" Type="http://schemas.openxmlformats.org/officeDocument/2006/relationships/oleObject" Target="../embeddings/oleObject164.bin"/><Relationship Id="rId22" Type="http://schemas.openxmlformats.org/officeDocument/2006/relationships/oleObject" Target="../embeddings/oleObject172.bin"/><Relationship Id="rId27" Type="http://schemas.openxmlformats.org/officeDocument/2006/relationships/oleObject" Target="../embeddings/oleObject177.bin"/><Relationship Id="rId30" Type="http://schemas.openxmlformats.org/officeDocument/2006/relationships/oleObject" Target="../embeddings/oleObject180.bin"/><Relationship Id="rId35" Type="http://schemas.openxmlformats.org/officeDocument/2006/relationships/oleObject" Target="../embeddings/oleObject185.bin"/><Relationship Id="rId43" Type="http://schemas.openxmlformats.org/officeDocument/2006/relationships/oleObject" Target="../embeddings/oleObject19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24"/>
  <sheetViews>
    <sheetView tabSelected="1" topLeftCell="A16" zoomScale="70" zoomScaleNormal="70" workbookViewId="0">
      <selection activeCell="G20" sqref="G20"/>
    </sheetView>
  </sheetViews>
  <sheetFormatPr defaultRowHeight="15.75"/>
  <cols>
    <col min="1" max="1" width="11.28515625" style="5" customWidth="1"/>
    <col min="2" max="2" width="12.42578125" style="5" bestFit="1" customWidth="1"/>
    <col min="3" max="3" width="10" style="5" bestFit="1" customWidth="1"/>
    <col min="4" max="4" width="14.85546875" style="5" customWidth="1"/>
    <col min="5" max="5" width="10.28515625" style="5" customWidth="1"/>
    <col min="6" max="6" width="10.5703125" style="5" bestFit="1" customWidth="1"/>
    <col min="7" max="7" width="15.85546875" style="5" customWidth="1"/>
    <col min="8" max="8" width="14" style="5" bestFit="1" customWidth="1"/>
    <col min="9" max="9" width="14.42578125" style="5" customWidth="1"/>
    <col min="10" max="10" width="9.140625" style="5"/>
    <col min="11" max="16384" width="9.140625" style="1"/>
  </cols>
  <sheetData>
    <row r="1" spans="1:19">
      <c r="A1" s="137" t="s">
        <v>221</v>
      </c>
      <c r="B1" s="138"/>
      <c r="C1" s="138"/>
      <c r="D1" s="138"/>
      <c r="E1" s="138"/>
      <c r="F1" s="138"/>
      <c r="G1" s="138"/>
      <c r="H1" s="138"/>
      <c r="I1" s="138"/>
      <c r="J1" s="51"/>
      <c r="K1" s="22"/>
      <c r="L1" s="49"/>
      <c r="M1" s="11"/>
    </row>
    <row r="2" spans="1:19">
      <c r="A2" s="139"/>
      <c r="B2" s="140"/>
      <c r="C2" s="140"/>
      <c r="D2" s="140"/>
      <c r="E2" s="140"/>
      <c r="F2" s="140"/>
      <c r="G2" s="140"/>
      <c r="H2" s="140"/>
      <c r="I2" s="140"/>
      <c r="J2" s="52"/>
      <c r="K2" s="8"/>
      <c r="L2" s="6"/>
      <c r="M2" s="7"/>
    </row>
    <row r="3" spans="1:19">
      <c r="A3" s="139"/>
      <c r="B3" s="140"/>
      <c r="C3" s="140"/>
      <c r="D3" s="140"/>
      <c r="E3" s="140"/>
      <c r="F3" s="140"/>
      <c r="G3" s="140"/>
      <c r="H3" s="140"/>
      <c r="I3" s="140"/>
      <c r="J3" s="52"/>
      <c r="K3" s="8"/>
      <c r="L3" s="50"/>
      <c r="M3" s="7"/>
    </row>
    <row r="4" spans="1:19" ht="63">
      <c r="A4" s="53" t="s">
        <v>222</v>
      </c>
      <c r="B4" s="35" t="s">
        <v>2</v>
      </c>
      <c r="C4" s="35" t="s">
        <v>4</v>
      </c>
      <c r="D4" s="35" t="s">
        <v>223</v>
      </c>
      <c r="E4" s="52"/>
      <c r="F4" s="52"/>
      <c r="G4" s="52"/>
      <c r="H4" s="52"/>
      <c r="I4" s="52"/>
      <c r="J4" s="52"/>
      <c r="K4" s="8"/>
      <c r="L4" s="6"/>
      <c r="M4" s="7"/>
    </row>
    <row r="5" spans="1:19">
      <c r="A5" s="53">
        <v>35</v>
      </c>
      <c r="B5" s="35">
        <v>1500</v>
      </c>
      <c r="C5" s="35">
        <v>850</v>
      </c>
      <c r="D5" s="35">
        <v>0.7</v>
      </c>
      <c r="E5" s="52"/>
      <c r="F5" s="52"/>
      <c r="G5" s="52"/>
      <c r="H5" s="52"/>
      <c r="I5" s="52"/>
      <c r="J5" s="52"/>
      <c r="K5" s="8"/>
      <c r="L5" s="6"/>
      <c r="M5" s="7"/>
    </row>
    <row r="6" spans="1:19">
      <c r="A6" s="54" t="s">
        <v>224</v>
      </c>
      <c r="B6" s="52"/>
      <c r="C6" s="55"/>
      <c r="D6" s="52"/>
      <c r="E6" s="52"/>
      <c r="F6" s="52"/>
      <c r="G6" s="28"/>
      <c r="H6" s="28"/>
      <c r="I6" s="28"/>
      <c r="J6" s="28"/>
      <c r="K6" s="8"/>
      <c r="L6" s="6"/>
      <c r="M6" s="7"/>
    </row>
    <row r="7" spans="1:19">
      <c r="A7" s="54" t="s">
        <v>225</v>
      </c>
      <c r="B7" s="52">
        <v>32</v>
      </c>
      <c r="C7" s="52" t="s">
        <v>39</v>
      </c>
      <c r="D7" s="52">
        <f>B7/1000</f>
        <v>3.2000000000000001E-2</v>
      </c>
      <c r="E7" s="52"/>
      <c r="F7" s="52"/>
      <c r="G7" s="52"/>
      <c r="H7" s="52"/>
      <c r="I7" s="52"/>
      <c r="J7" s="52"/>
      <c r="K7" s="8"/>
      <c r="L7" s="6"/>
      <c r="M7" s="7"/>
    </row>
    <row r="8" spans="1:19">
      <c r="A8" s="54" t="s">
        <v>226</v>
      </c>
      <c r="B8" s="52"/>
      <c r="C8" s="55"/>
      <c r="D8" s="52"/>
      <c r="E8" s="52"/>
      <c r="F8" s="52"/>
      <c r="G8" s="52"/>
      <c r="H8" s="52"/>
      <c r="I8" s="52"/>
      <c r="J8" s="52"/>
      <c r="K8" s="8"/>
      <c r="L8" s="6"/>
      <c r="M8" s="7"/>
    </row>
    <row r="9" spans="1:19">
      <c r="A9" s="56" t="s">
        <v>227</v>
      </c>
      <c r="B9" s="52"/>
      <c r="C9" s="52"/>
      <c r="D9" s="52" t="s">
        <v>228</v>
      </c>
      <c r="E9" s="52">
        <f>32+28</f>
        <v>60</v>
      </c>
      <c r="F9" s="52" t="s">
        <v>39</v>
      </c>
      <c r="G9" s="57" t="s">
        <v>229</v>
      </c>
      <c r="H9" s="52" t="s">
        <v>230</v>
      </c>
      <c r="I9" s="52"/>
      <c r="J9" s="52"/>
      <c r="K9" s="8"/>
      <c r="L9" s="6"/>
      <c r="M9" s="7"/>
    </row>
    <row r="10" spans="1:19" ht="16.5" thickBot="1">
      <c r="A10" s="58" t="s">
        <v>307</v>
      </c>
      <c r="B10" s="59"/>
      <c r="C10" s="59"/>
      <c r="D10" s="59"/>
      <c r="E10" s="59"/>
      <c r="F10" s="59"/>
      <c r="G10" s="59"/>
      <c r="H10" s="59"/>
      <c r="I10" s="59"/>
      <c r="J10" s="59"/>
      <c r="K10" s="13"/>
      <c r="L10" s="9"/>
      <c r="M10" s="10"/>
    </row>
    <row r="11" spans="1:19">
      <c r="A11" t="s">
        <v>308</v>
      </c>
      <c r="B11" s="52"/>
      <c r="C11" s="52"/>
      <c r="D11" s="52"/>
      <c r="E11" s="52"/>
      <c r="F11" s="52"/>
      <c r="G11" s="52"/>
      <c r="H11" s="52"/>
      <c r="I11" s="52"/>
      <c r="J11" s="52"/>
      <c r="K11" s="8"/>
      <c r="L11" s="6"/>
      <c r="M11" s="7"/>
    </row>
    <row r="12" spans="1:19">
      <c r="A12" s="54"/>
      <c r="B12" s="52"/>
      <c r="C12" s="52"/>
      <c r="D12" s="52"/>
      <c r="E12" s="52"/>
      <c r="F12" s="52"/>
      <c r="G12" s="52"/>
      <c r="H12" s="52"/>
      <c r="I12" s="52"/>
      <c r="J12" s="52"/>
      <c r="K12" s="8"/>
      <c r="L12" s="6"/>
      <c r="M12" s="7"/>
    </row>
    <row r="13" spans="1:19" ht="16.5" thickBot="1">
      <c r="A13" s="54"/>
      <c r="B13" s="52"/>
      <c r="C13" s="52"/>
      <c r="D13" s="52"/>
      <c r="E13" s="52"/>
      <c r="F13" s="52"/>
      <c r="G13" s="52"/>
      <c r="H13" s="52"/>
      <c r="I13" s="52"/>
      <c r="J13" s="52"/>
      <c r="K13" s="8"/>
      <c r="L13" s="6"/>
      <c r="M13" s="7"/>
    </row>
    <row r="14" spans="1:19">
      <c r="A14" s="60"/>
      <c r="B14" s="61"/>
      <c r="C14" s="61"/>
      <c r="D14" s="61"/>
      <c r="E14" s="61"/>
      <c r="F14" s="61"/>
      <c r="G14" s="61"/>
      <c r="H14" s="61"/>
      <c r="I14" s="61"/>
      <c r="J14" s="61"/>
      <c r="K14" s="49"/>
      <c r="L14" s="49"/>
      <c r="M14" s="11"/>
    </row>
    <row r="15" spans="1:19">
      <c r="A15" s="143" t="s">
        <v>231</v>
      </c>
      <c r="B15" s="144"/>
      <c r="C15" s="144"/>
      <c r="D15" s="144"/>
      <c r="E15" s="144"/>
      <c r="F15" s="144"/>
      <c r="G15" s="144"/>
      <c r="H15" s="144"/>
      <c r="I15" s="144"/>
      <c r="J15" s="62"/>
      <c r="K15" s="45"/>
      <c r="L15" s="8"/>
      <c r="M15" s="26"/>
      <c r="N15"/>
      <c r="O15"/>
      <c r="P15"/>
      <c r="Q15"/>
      <c r="R15"/>
      <c r="S15"/>
    </row>
    <row r="16" spans="1:19">
      <c r="A16" s="143"/>
      <c r="B16" s="144"/>
      <c r="C16" s="144"/>
      <c r="D16" s="144"/>
      <c r="E16" s="144"/>
      <c r="F16" s="144"/>
      <c r="G16" s="144"/>
      <c r="H16" s="144"/>
      <c r="I16" s="144"/>
      <c r="J16" s="62"/>
      <c r="K16" s="45"/>
      <c r="L16" s="8"/>
      <c r="M16" s="26"/>
      <c r="N16"/>
      <c r="O16"/>
      <c r="P16"/>
      <c r="Q16"/>
      <c r="R16"/>
      <c r="S16"/>
    </row>
    <row r="17" spans="1:19">
      <c r="A17" s="145"/>
      <c r="B17" s="146"/>
      <c r="C17" s="146"/>
      <c r="D17" s="146"/>
      <c r="E17" s="146"/>
      <c r="F17" s="146"/>
      <c r="G17" s="146"/>
      <c r="H17" s="146"/>
      <c r="I17" s="146"/>
      <c r="J17" s="62"/>
      <c r="K17" s="45"/>
      <c r="L17" s="8"/>
      <c r="M17" s="26"/>
      <c r="N17"/>
      <c r="O17"/>
      <c r="P17"/>
      <c r="Q17"/>
      <c r="R17"/>
      <c r="S17"/>
    </row>
    <row r="18" spans="1:19" ht="63">
      <c r="A18" s="53" t="s">
        <v>1</v>
      </c>
      <c r="B18" s="35" t="s">
        <v>2</v>
      </c>
      <c r="C18" s="35" t="s">
        <v>3</v>
      </c>
      <c r="D18" s="35" t="s">
        <v>4</v>
      </c>
      <c r="E18" s="35" t="s">
        <v>9</v>
      </c>
      <c r="F18" s="35" t="s">
        <v>49</v>
      </c>
      <c r="G18" s="35" t="s">
        <v>95</v>
      </c>
      <c r="H18" s="35" t="s">
        <v>62</v>
      </c>
      <c r="I18" s="35" t="s">
        <v>63</v>
      </c>
      <c r="J18" s="52"/>
      <c r="K18" s="8"/>
      <c r="L18" s="8"/>
      <c r="M18" s="26"/>
      <c r="N18"/>
      <c r="O18"/>
      <c r="P18"/>
      <c r="Q18"/>
      <c r="R18"/>
      <c r="S18"/>
    </row>
    <row r="19" spans="1:19">
      <c r="A19" s="63">
        <v>40</v>
      </c>
      <c r="B19" s="64">
        <v>1000</v>
      </c>
      <c r="C19" s="64">
        <v>900</v>
      </c>
      <c r="D19" s="64">
        <v>850</v>
      </c>
      <c r="E19" s="64">
        <v>60</v>
      </c>
      <c r="F19" s="64">
        <v>22</v>
      </c>
      <c r="G19" s="64">
        <v>300</v>
      </c>
      <c r="H19" s="64">
        <v>10.199999999999999</v>
      </c>
      <c r="I19" s="64">
        <v>3</v>
      </c>
      <c r="J19" s="52"/>
      <c r="K19" s="8"/>
      <c r="L19" s="8"/>
      <c r="M19" s="26"/>
      <c r="N19"/>
      <c r="O19"/>
      <c r="P19"/>
      <c r="Q19"/>
      <c r="R19"/>
      <c r="S19"/>
    </row>
    <row r="20" spans="1:19">
      <c r="A20" s="63">
        <f>A19*10^-3</f>
        <v>0.04</v>
      </c>
      <c r="B20" s="29"/>
      <c r="C20" s="29"/>
      <c r="D20" s="29"/>
      <c r="E20" s="64">
        <f>E19*10^-3</f>
        <v>0.06</v>
      </c>
      <c r="F20" s="64">
        <v>19</v>
      </c>
      <c r="G20" s="64">
        <v>700</v>
      </c>
      <c r="H20" s="29"/>
      <c r="I20" s="29"/>
      <c r="J20" s="52"/>
      <c r="K20" s="8"/>
      <c r="L20" s="8"/>
      <c r="M20" s="26"/>
      <c r="N20"/>
      <c r="O20"/>
      <c r="P20"/>
      <c r="Q20"/>
      <c r="R20"/>
      <c r="S20"/>
    </row>
    <row r="21" spans="1:19">
      <c r="A21" s="65" t="s">
        <v>232</v>
      </c>
      <c r="B21" s="64">
        <f>0.3</f>
        <v>0.3</v>
      </c>
      <c r="C21" s="64"/>
      <c r="D21" s="64"/>
      <c r="E21" s="64"/>
      <c r="F21" s="64">
        <f>F19*10^-3</f>
        <v>2.1999999999999999E-2</v>
      </c>
      <c r="G21" s="64"/>
      <c r="H21" s="64"/>
      <c r="I21" s="64"/>
      <c r="J21" s="52"/>
      <c r="K21" s="8"/>
      <c r="L21" s="8"/>
      <c r="M21" s="26"/>
      <c r="N21"/>
      <c r="O21"/>
      <c r="P21"/>
      <c r="Q21"/>
      <c r="R21"/>
      <c r="S21"/>
    </row>
    <row r="22" spans="1:19">
      <c r="A22" s="63" t="s">
        <v>233</v>
      </c>
      <c r="B22" s="64">
        <v>0.7</v>
      </c>
      <c r="C22" s="64"/>
      <c r="D22" s="64"/>
      <c r="E22" s="64"/>
      <c r="F22" s="64">
        <f>F20*10^-3</f>
        <v>1.9E-2</v>
      </c>
      <c r="G22" s="64"/>
      <c r="H22" s="64"/>
      <c r="I22" s="64"/>
      <c r="J22" s="52"/>
      <c r="K22" s="8"/>
      <c r="L22" s="8"/>
      <c r="M22" s="26"/>
      <c r="N22"/>
      <c r="O22"/>
      <c r="P22"/>
      <c r="Q22"/>
      <c r="R22"/>
      <c r="S22"/>
    </row>
    <row r="23" spans="1:19">
      <c r="A23" s="54"/>
      <c r="B23" s="52"/>
      <c r="C23" s="52"/>
      <c r="D23" s="52"/>
      <c r="E23" s="52"/>
      <c r="F23" s="52"/>
      <c r="G23" s="52"/>
      <c r="H23" s="52"/>
      <c r="I23" s="52"/>
      <c r="J23" s="52"/>
      <c r="K23" s="8"/>
      <c r="L23" s="8"/>
      <c r="M23" s="26"/>
      <c r="N23"/>
      <c r="O23"/>
      <c r="P23"/>
      <c r="Q23"/>
      <c r="R23"/>
      <c r="S23"/>
    </row>
    <row r="24" spans="1:19">
      <c r="A24" s="54"/>
      <c r="B24" s="52"/>
      <c r="C24" s="66"/>
      <c r="D24" s="52"/>
      <c r="E24" s="52"/>
      <c r="F24" s="52"/>
      <c r="G24" s="52"/>
      <c r="H24" s="52"/>
      <c r="I24" s="52"/>
      <c r="J24" s="52"/>
      <c r="K24" s="8"/>
      <c r="L24" s="8"/>
      <c r="M24" s="26"/>
      <c r="N24"/>
      <c r="O24"/>
      <c r="P24"/>
      <c r="Q24"/>
      <c r="R24"/>
      <c r="S24"/>
    </row>
    <row r="25" spans="1:19">
      <c r="A25" s="54"/>
      <c r="B25" s="52"/>
      <c r="C25" s="52"/>
      <c r="D25" s="52"/>
      <c r="E25" s="52"/>
      <c r="F25" s="52"/>
      <c r="G25" s="52"/>
      <c r="H25" s="52"/>
      <c r="I25" s="52"/>
      <c r="J25" s="52"/>
      <c r="K25" s="8"/>
      <c r="L25" s="8"/>
      <c r="M25" s="26"/>
      <c r="N25"/>
      <c r="O25"/>
      <c r="P25"/>
      <c r="Q25"/>
      <c r="R25"/>
      <c r="S25"/>
    </row>
    <row r="26" spans="1:19">
      <c r="A26" s="67" t="s">
        <v>234</v>
      </c>
      <c r="B26" s="68">
        <f>B29*B19/B28</f>
        <v>0.25714285714285712</v>
      </c>
      <c r="C26" s="52"/>
      <c r="D26" s="52"/>
      <c r="E26" s="52"/>
      <c r="F26" s="52"/>
      <c r="G26" s="52"/>
      <c r="H26" s="52"/>
      <c r="I26" s="52"/>
      <c r="J26" s="52"/>
      <c r="K26" s="8"/>
      <c r="L26" s="8"/>
      <c r="M26" s="26"/>
      <c r="N26"/>
      <c r="O26"/>
      <c r="P26"/>
      <c r="Q26"/>
      <c r="R26"/>
      <c r="S26"/>
    </row>
    <row r="27" spans="1:19" ht="18.75">
      <c r="A27" s="69" t="s">
        <v>235</v>
      </c>
      <c r="B27" s="52"/>
      <c r="C27" s="52"/>
      <c r="D27" s="52"/>
      <c r="E27" s="52"/>
      <c r="F27" s="52"/>
      <c r="G27" s="52"/>
      <c r="H27" s="52"/>
      <c r="I27" s="52"/>
      <c r="J27" s="52"/>
      <c r="K27" s="8"/>
      <c r="L27" s="8"/>
      <c r="M27" s="26"/>
      <c r="N27"/>
      <c r="O27"/>
      <c r="P27"/>
      <c r="Q27"/>
      <c r="R27"/>
      <c r="S27"/>
    </row>
    <row r="28" spans="1:19">
      <c r="A28" s="56" t="s">
        <v>236</v>
      </c>
      <c r="B28" s="52">
        <v>4900</v>
      </c>
      <c r="C28" s="52"/>
      <c r="D28" s="52"/>
      <c r="E28" s="52"/>
      <c r="F28" s="52"/>
      <c r="G28" s="52"/>
      <c r="H28" s="52"/>
      <c r="I28" s="52"/>
      <c r="J28" s="52"/>
      <c r="K28" s="8"/>
      <c r="L28" s="8"/>
      <c r="M28" s="26"/>
      <c r="N28"/>
      <c r="O28"/>
      <c r="P28"/>
      <c r="Q28"/>
      <c r="R28"/>
      <c r="S28"/>
    </row>
    <row r="29" spans="1:19">
      <c r="A29" s="56" t="s">
        <v>237</v>
      </c>
      <c r="B29" s="52">
        <v>1.26</v>
      </c>
      <c r="C29" s="52"/>
      <c r="D29" s="52"/>
      <c r="E29" s="52"/>
      <c r="F29" s="52"/>
      <c r="G29" s="52"/>
      <c r="H29" s="52"/>
      <c r="I29" s="52"/>
      <c r="J29" s="52"/>
      <c r="K29" s="8"/>
      <c r="L29" s="8"/>
      <c r="M29" s="26"/>
      <c r="N29"/>
      <c r="O29"/>
      <c r="P29"/>
      <c r="Q29"/>
      <c r="R29"/>
      <c r="S29"/>
    </row>
    <row r="30" spans="1:19">
      <c r="A30" s="54" t="s">
        <v>238</v>
      </c>
      <c r="B30" s="52">
        <v>0</v>
      </c>
      <c r="C30" s="52"/>
      <c r="D30" s="52"/>
      <c r="E30" s="52"/>
      <c r="F30" s="52"/>
      <c r="G30" s="52"/>
      <c r="H30" s="52"/>
      <c r="I30" s="52"/>
      <c r="J30" s="52"/>
      <c r="K30" s="8"/>
      <c r="L30" s="8"/>
      <c r="M30" s="26"/>
      <c r="N30"/>
      <c r="O30"/>
      <c r="P30"/>
      <c r="Q30"/>
      <c r="R30"/>
      <c r="S30"/>
    </row>
    <row r="31" spans="1:19">
      <c r="A31" s="54"/>
      <c r="B31" s="52"/>
      <c r="C31" s="52"/>
      <c r="D31" s="52"/>
      <c r="E31" s="52"/>
      <c r="F31" s="52"/>
      <c r="G31" s="52"/>
      <c r="H31" s="52"/>
      <c r="I31" s="52"/>
      <c r="J31" s="52"/>
      <c r="K31" s="8"/>
      <c r="L31" s="8"/>
      <c r="M31" s="26"/>
      <c r="N31"/>
      <c r="O31"/>
      <c r="P31"/>
      <c r="Q31"/>
      <c r="R31"/>
      <c r="S31"/>
    </row>
    <row r="32" spans="1:19">
      <c r="A32" s="54" t="s">
        <v>239</v>
      </c>
      <c r="B32" s="52">
        <f>0.785*A20^2*C19*D19*9.81</f>
        <v>9425.840400000001</v>
      </c>
      <c r="C32" s="52" t="s">
        <v>131</v>
      </c>
      <c r="D32" s="52"/>
      <c r="E32" s="52"/>
      <c r="F32" s="52"/>
      <c r="G32" s="52"/>
      <c r="H32" s="52"/>
      <c r="I32" s="52"/>
      <c r="J32" s="52"/>
      <c r="K32" s="8"/>
      <c r="L32" s="8"/>
      <c r="M32" s="26"/>
      <c r="N32"/>
      <c r="O32"/>
      <c r="P32"/>
      <c r="Q32"/>
      <c r="R32"/>
      <c r="S32"/>
    </row>
    <row r="33" spans="1:19">
      <c r="A33" s="54"/>
      <c r="B33" s="52"/>
      <c r="C33" s="52"/>
      <c r="D33" s="52"/>
      <c r="E33" s="52"/>
      <c r="F33" s="52"/>
      <c r="G33" s="52"/>
      <c r="H33" s="52"/>
      <c r="I33" s="52"/>
      <c r="J33" s="52"/>
      <c r="K33" s="8"/>
      <c r="L33" s="8"/>
      <c r="M33" s="26"/>
      <c r="N33"/>
      <c r="O33"/>
      <c r="P33"/>
      <c r="Q33"/>
      <c r="R33"/>
      <c r="S33"/>
    </row>
    <row r="34" spans="1:19">
      <c r="A34" s="54"/>
      <c r="B34" s="52"/>
      <c r="C34" s="52"/>
      <c r="D34" s="52"/>
      <c r="E34" s="52"/>
      <c r="F34" s="52"/>
      <c r="G34" s="52"/>
      <c r="H34" s="52"/>
      <c r="I34" s="52"/>
      <c r="J34" s="52"/>
      <c r="K34" s="8"/>
      <c r="L34" s="8"/>
      <c r="M34" s="26"/>
      <c r="N34"/>
      <c r="O34"/>
      <c r="P34"/>
      <c r="Q34"/>
      <c r="R34"/>
      <c r="S34"/>
    </row>
    <row r="35" spans="1:19">
      <c r="A35" s="54" t="s">
        <v>240</v>
      </c>
      <c r="B35" s="52">
        <f>1-(D19/7850)</f>
        <v>0.89171974522292996</v>
      </c>
      <c r="C35" s="52"/>
      <c r="D35" s="52"/>
      <c r="E35" s="52"/>
      <c r="F35" s="52"/>
      <c r="G35" s="52"/>
      <c r="H35" s="52"/>
      <c r="I35" s="52"/>
      <c r="J35" s="52"/>
      <c r="K35" s="8"/>
      <c r="L35" s="8"/>
      <c r="M35" s="26"/>
      <c r="N35"/>
      <c r="O35"/>
      <c r="P35"/>
      <c r="Q35"/>
      <c r="R35"/>
      <c r="S35"/>
    </row>
    <row r="36" spans="1:19">
      <c r="A36" s="54"/>
      <c r="B36" s="52"/>
      <c r="C36" s="52"/>
      <c r="D36" s="52"/>
      <c r="E36" s="52"/>
      <c r="F36" s="52"/>
      <c r="G36" s="52"/>
      <c r="H36" s="52"/>
      <c r="I36" s="52"/>
      <c r="J36" s="52"/>
      <c r="K36" s="8"/>
      <c r="L36" s="8"/>
      <c r="M36" s="26"/>
      <c r="N36"/>
      <c r="O36"/>
      <c r="P36"/>
      <c r="Q36"/>
      <c r="R36"/>
      <c r="S36"/>
    </row>
    <row r="37" spans="1:19">
      <c r="A37" s="54"/>
      <c r="B37" s="52"/>
      <c r="C37" s="52"/>
      <c r="D37" s="52"/>
      <c r="E37" s="52"/>
      <c r="F37" s="52"/>
      <c r="G37" s="52"/>
      <c r="H37" s="52"/>
      <c r="I37" s="52"/>
      <c r="J37" s="52"/>
      <c r="K37" s="8"/>
      <c r="L37" s="8"/>
      <c r="M37" s="26"/>
      <c r="N37"/>
      <c r="O37"/>
      <c r="P37"/>
      <c r="Q37"/>
      <c r="R37"/>
      <c r="S37"/>
    </row>
    <row r="38" spans="1:19">
      <c r="A38" s="54" t="s">
        <v>241</v>
      </c>
      <c r="B38" s="52">
        <f>I19*H19^2/1440</f>
        <v>0.21675</v>
      </c>
      <c r="C38" s="52"/>
      <c r="D38" s="52"/>
      <c r="E38" s="52"/>
      <c r="F38" s="52"/>
      <c r="G38" s="52"/>
      <c r="H38" s="52"/>
      <c r="I38" s="52"/>
      <c r="J38" s="52"/>
      <c r="K38" s="8"/>
      <c r="L38" s="8"/>
      <c r="M38" s="26"/>
      <c r="N38"/>
      <c r="O38"/>
      <c r="P38"/>
      <c r="Q38"/>
      <c r="R38"/>
      <c r="S38"/>
    </row>
    <row r="39" spans="1:19">
      <c r="A39" s="54"/>
      <c r="B39" s="52"/>
      <c r="C39" s="52"/>
      <c r="D39" s="52"/>
      <c r="E39" s="52"/>
      <c r="F39" s="52"/>
      <c r="G39" s="52"/>
      <c r="H39" s="52"/>
      <c r="I39" s="52"/>
      <c r="J39" s="52"/>
      <c r="K39" s="8"/>
      <c r="L39" s="8"/>
      <c r="M39" s="26"/>
      <c r="N39"/>
      <c r="O39"/>
      <c r="P39"/>
      <c r="Q39"/>
      <c r="R39"/>
      <c r="S39"/>
    </row>
    <row r="40" spans="1:19">
      <c r="A40" s="54" t="s">
        <v>242</v>
      </c>
      <c r="B40" s="52">
        <f>(3.14*G19+2.35*G20)*9.81</f>
        <v>25378.47</v>
      </c>
      <c r="C40" s="52" t="s">
        <v>131</v>
      </c>
      <c r="D40" s="52"/>
      <c r="E40" s="52"/>
      <c r="F40" s="52"/>
      <c r="G40" s="52"/>
      <c r="H40" s="52"/>
      <c r="I40" s="52"/>
      <c r="J40" s="52"/>
      <c r="K40" s="8"/>
      <c r="L40" s="8"/>
      <c r="M40" s="26"/>
      <c r="N40"/>
      <c r="O40"/>
      <c r="P40"/>
      <c r="Q40"/>
      <c r="R40"/>
      <c r="S40"/>
    </row>
    <row r="41" spans="1:19">
      <c r="A41" s="54"/>
      <c r="B41" s="52"/>
      <c r="C41" s="52"/>
      <c r="D41" s="52"/>
      <c r="E41" s="52"/>
      <c r="F41" s="52"/>
      <c r="G41" s="52"/>
      <c r="H41" s="52"/>
      <c r="I41" s="52"/>
      <c r="J41" s="52"/>
      <c r="K41" s="8"/>
      <c r="L41" s="8"/>
      <c r="M41" s="26"/>
      <c r="N41"/>
      <c r="O41"/>
      <c r="P41"/>
      <c r="Q41"/>
      <c r="R41"/>
      <c r="S41"/>
    </row>
    <row r="42" spans="1:19">
      <c r="A42" s="54" t="s">
        <v>243</v>
      </c>
      <c r="B42" s="52">
        <f>B32+B40*(B35+B38)</f>
        <v>37557.106575047772</v>
      </c>
      <c r="C42" s="52" t="s">
        <v>22</v>
      </c>
      <c r="D42" s="52"/>
      <c r="E42" s="52"/>
      <c r="F42" s="52"/>
      <c r="G42" s="52"/>
      <c r="H42" s="52"/>
      <c r="I42" s="52"/>
      <c r="J42" s="52"/>
      <c r="K42" s="8"/>
      <c r="L42" s="8"/>
      <c r="M42" s="26"/>
      <c r="N42"/>
      <c r="O42"/>
      <c r="P42"/>
      <c r="Q42"/>
      <c r="R42"/>
      <c r="S42"/>
    </row>
    <row r="43" spans="1:19">
      <c r="A43" s="54"/>
      <c r="B43" s="52"/>
      <c r="C43" s="52"/>
      <c r="D43" s="52"/>
      <c r="E43" s="52"/>
      <c r="F43" s="52"/>
      <c r="G43" s="52"/>
      <c r="H43" s="52"/>
      <c r="I43" s="52"/>
      <c r="J43" s="52"/>
      <c r="K43" s="8"/>
      <c r="L43" s="8"/>
      <c r="M43" s="26"/>
      <c r="N43"/>
      <c r="O43"/>
      <c r="P43"/>
      <c r="Q43"/>
      <c r="R43"/>
      <c r="S43"/>
    </row>
    <row r="44" spans="1:19">
      <c r="A44" s="54" t="s">
        <v>244</v>
      </c>
      <c r="B44" s="52">
        <f>B40*(B35-B38)</f>
        <v>17129.699430047771</v>
      </c>
      <c r="C44" s="52" t="s">
        <v>22</v>
      </c>
      <c r="D44" s="52"/>
      <c r="E44" s="52"/>
      <c r="F44" s="52"/>
      <c r="G44" s="52"/>
      <c r="H44" s="52"/>
      <c r="I44" s="52"/>
      <c r="J44" s="52"/>
      <c r="K44" s="8"/>
      <c r="L44" s="8"/>
      <c r="M44" s="26"/>
      <c r="N44"/>
      <c r="O44"/>
      <c r="P44"/>
      <c r="Q44"/>
      <c r="R44"/>
      <c r="S44"/>
    </row>
    <row r="45" spans="1:19" ht="18.75">
      <c r="A45" s="69" t="s">
        <v>245</v>
      </c>
      <c r="B45" s="52"/>
      <c r="C45" s="52"/>
      <c r="D45" s="52"/>
      <c r="E45" s="52"/>
      <c r="F45" s="52"/>
      <c r="G45" s="52"/>
      <c r="H45" s="52"/>
      <c r="I45" s="52"/>
      <c r="J45" s="52"/>
      <c r="K45" s="8"/>
      <c r="L45" s="8"/>
      <c r="M45" s="26"/>
      <c r="N45"/>
      <c r="O45"/>
      <c r="P45"/>
      <c r="Q45"/>
      <c r="R45"/>
      <c r="S45"/>
    </row>
    <row r="46" spans="1:19">
      <c r="A46" s="54"/>
      <c r="B46" s="52"/>
      <c r="C46" s="52"/>
      <c r="D46" s="52"/>
      <c r="E46" s="52"/>
      <c r="F46" s="52"/>
      <c r="G46" s="52"/>
      <c r="H46" s="52"/>
      <c r="I46" s="52"/>
      <c r="J46" s="52"/>
      <c r="K46" s="8"/>
      <c r="L46" s="8"/>
      <c r="M46" s="26"/>
      <c r="N46"/>
      <c r="O46"/>
      <c r="P46"/>
      <c r="Q46"/>
      <c r="R46"/>
      <c r="S46"/>
    </row>
    <row r="47" spans="1:19">
      <c r="A47" s="54"/>
      <c r="B47" s="52"/>
      <c r="C47" s="52"/>
      <c r="D47" s="52"/>
      <c r="E47" s="52"/>
      <c r="F47" s="52"/>
      <c r="G47" s="52"/>
      <c r="H47" s="52"/>
      <c r="I47" s="52"/>
      <c r="J47" s="52"/>
      <c r="K47" s="8"/>
      <c r="L47" s="8"/>
      <c r="M47" s="26"/>
      <c r="N47"/>
      <c r="O47"/>
      <c r="P47"/>
      <c r="Q47"/>
      <c r="R47"/>
      <c r="S47"/>
    </row>
    <row r="48" spans="1:19">
      <c r="A48" s="54"/>
      <c r="B48" s="52"/>
      <c r="C48" s="52"/>
      <c r="D48" s="52"/>
      <c r="E48" s="52"/>
      <c r="F48" s="52"/>
      <c r="G48" s="52"/>
      <c r="H48" s="52"/>
      <c r="I48" s="52"/>
      <c r="J48" s="52"/>
      <c r="K48" s="8"/>
      <c r="L48" s="8"/>
      <c r="M48" s="26"/>
      <c r="N48"/>
      <c r="O48"/>
      <c r="P48"/>
      <c r="Q48"/>
      <c r="R48"/>
      <c r="S48"/>
    </row>
    <row r="49" spans="1:19">
      <c r="A49" s="54" t="s">
        <v>242</v>
      </c>
      <c r="B49" s="52">
        <f>B40*B35</f>
        <v>22630.482802547773</v>
      </c>
      <c r="C49" s="52" t="s">
        <v>131</v>
      </c>
      <c r="D49" s="52"/>
      <c r="E49" s="52"/>
      <c r="F49" s="52"/>
      <c r="G49" s="52"/>
      <c r="H49" s="52"/>
      <c r="I49" s="52"/>
      <c r="J49" s="52"/>
      <c r="K49" s="8"/>
      <c r="L49" s="8"/>
      <c r="M49" s="26"/>
      <c r="N49"/>
      <c r="O49"/>
      <c r="P49"/>
      <c r="Q49"/>
      <c r="R49"/>
      <c r="S49"/>
    </row>
    <row r="50" spans="1:19">
      <c r="A50" s="54"/>
      <c r="B50" s="52"/>
      <c r="C50" s="52"/>
      <c r="D50" s="52"/>
      <c r="E50" s="52"/>
      <c r="F50" s="52"/>
      <c r="G50" s="52"/>
      <c r="H50" s="52"/>
      <c r="I50" s="52"/>
      <c r="J50" s="52"/>
      <c r="K50" s="8"/>
      <c r="L50" s="8"/>
      <c r="M50" s="26"/>
      <c r="N50"/>
      <c r="O50"/>
      <c r="P50"/>
      <c r="Q50"/>
      <c r="R50"/>
      <c r="S50"/>
    </row>
    <row r="51" spans="1:19">
      <c r="A51" s="54" t="s">
        <v>246</v>
      </c>
      <c r="B51" s="52">
        <f>0.785*0.032^2</f>
        <v>8.0384E-4</v>
      </c>
      <c r="C51" s="52"/>
      <c r="D51" s="52"/>
      <c r="E51" s="52"/>
      <c r="F51" s="52"/>
      <c r="G51" s="52"/>
      <c r="H51" s="52"/>
      <c r="I51" s="52"/>
      <c r="J51" s="52"/>
      <c r="K51" s="8"/>
      <c r="L51" s="8"/>
      <c r="M51" s="26"/>
      <c r="N51"/>
      <c r="O51"/>
      <c r="P51"/>
      <c r="Q51"/>
      <c r="R51"/>
      <c r="S51"/>
    </row>
    <row r="52" spans="1:19">
      <c r="A52" s="54"/>
      <c r="B52" s="52"/>
      <c r="C52" s="52"/>
      <c r="D52" s="52"/>
      <c r="E52" s="52"/>
      <c r="F52" s="52"/>
      <c r="G52" s="52"/>
      <c r="H52" s="52"/>
      <c r="I52" s="52"/>
      <c r="J52" s="52"/>
      <c r="K52" s="8"/>
      <c r="L52" s="8"/>
      <c r="M52" s="26"/>
      <c r="N52"/>
      <c r="O52"/>
      <c r="P52"/>
      <c r="Q52"/>
      <c r="R52"/>
      <c r="S52"/>
    </row>
    <row r="53" spans="1:19">
      <c r="A53" s="54"/>
      <c r="B53" s="52"/>
      <c r="C53" s="52"/>
      <c r="D53" s="52"/>
      <c r="E53" s="52"/>
      <c r="F53" s="52"/>
      <c r="G53" s="52"/>
      <c r="H53" s="52"/>
      <c r="I53" s="52"/>
      <c r="J53" s="52"/>
      <c r="K53" s="8"/>
      <c r="L53" s="8"/>
      <c r="M53" s="26"/>
      <c r="N53"/>
      <c r="O53"/>
      <c r="P53"/>
      <c r="Q53"/>
      <c r="R53"/>
      <c r="S53"/>
    </row>
    <row r="54" spans="1:19">
      <c r="A54" s="54"/>
      <c r="B54" s="52"/>
      <c r="C54" s="52"/>
      <c r="D54" s="52"/>
      <c r="E54" s="52"/>
      <c r="F54" s="52"/>
      <c r="G54" s="52"/>
      <c r="H54" s="52"/>
      <c r="I54" s="52"/>
      <c r="J54" s="52"/>
      <c r="K54" s="8"/>
      <c r="L54" s="8"/>
      <c r="M54" s="26"/>
      <c r="N54"/>
      <c r="O54"/>
      <c r="P54"/>
      <c r="Q54"/>
      <c r="R54"/>
      <c r="S54"/>
    </row>
    <row r="55" spans="1:19">
      <c r="A55" s="54"/>
      <c r="B55" s="52"/>
      <c r="C55" s="52"/>
      <c r="D55" s="52"/>
      <c r="E55" s="52"/>
      <c r="F55" s="52"/>
      <c r="G55" s="52"/>
      <c r="H55" s="52"/>
      <c r="I55" s="52"/>
      <c r="J55" s="52"/>
      <c r="K55" s="8"/>
      <c r="L55" s="8"/>
      <c r="M55" s="26"/>
      <c r="N55"/>
      <c r="O55"/>
      <c r="P55"/>
      <c r="Q55"/>
      <c r="R55"/>
      <c r="S55"/>
    </row>
    <row r="56" spans="1:19">
      <c r="A56" s="54" t="s">
        <v>247</v>
      </c>
      <c r="B56" s="52">
        <f>1/((B21/(0.785*F21^2))+(B22/(0.785*F22^2)))</f>
        <v>3.0677329456497429E-4</v>
      </c>
      <c r="C56" s="52" t="s">
        <v>26</v>
      </c>
      <c r="D56" s="52"/>
      <c r="E56" s="52"/>
      <c r="F56" s="52"/>
      <c r="G56" s="52"/>
      <c r="H56" s="52"/>
      <c r="I56" s="52"/>
      <c r="J56" s="52"/>
      <c r="K56" s="8"/>
      <c r="L56" s="8"/>
      <c r="M56" s="26"/>
      <c r="N56"/>
      <c r="O56"/>
      <c r="P56"/>
      <c r="Q56"/>
      <c r="R56"/>
      <c r="S56"/>
    </row>
    <row r="57" spans="1:19">
      <c r="A57" s="54"/>
      <c r="B57" s="52"/>
      <c r="C57" s="52"/>
      <c r="D57" s="52"/>
      <c r="E57" s="52"/>
      <c r="F57" s="52"/>
      <c r="G57" s="52"/>
      <c r="H57" s="52"/>
      <c r="I57" s="52"/>
      <c r="J57" s="52"/>
      <c r="K57" s="8"/>
      <c r="L57" s="8"/>
      <c r="M57" s="26"/>
      <c r="N57"/>
      <c r="O57"/>
      <c r="P57"/>
      <c r="Q57"/>
      <c r="R57"/>
      <c r="S57"/>
    </row>
    <row r="58" spans="1:19">
      <c r="A58" s="54"/>
      <c r="B58" s="52"/>
      <c r="C58" s="52"/>
      <c r="D58" s="52"/>
      <c r="E58" s="52"/>
      <c r="F58" s="52"/>
      <c r="G58" s="52"/>
      <c r="H58" s="52"/>
      <c r="I58" s="52"/>
      <c r="J58" s="52"/>
      <c r="K58" s="8"/>
      <c r="L58" s="8"/>
      <c r="M58" s="26"/>
      <c r="N58"/>
      <c r="O58"/>
      <c r="P58"/>
      <c r="Q58"/>
      <c r="R58"/>
      <c r="S58"/>
    </row>
    <row r="59" spans="1:19">
      <c r="A59" s="54"/>
      <c r="B59" s="52"/>
      <c r="C59" s="52"/>
      <c r="D59" s="52"/>
      <c r="E59" s="52"/>
      <c r="F59" s="52"/>
      <c r="G59" s="52"/>
      <c r="H59" s="52"/>
      <c r="I59" s="52"/>
      <c r="J59" s="52"/>
      <c r="K59" s="8"/>
      <c r="L59" s="8"/>
      <c r="M59" s="26"/>
      <c r="N59"/>
      <c r="O59"/>
      <c r="P59"/>
      <c r="Q59"/>
      <c r="R59"/>
      <c r="S59"/>
    </row>
    <row r="60" spans="1:19" ht="31.5" customHeight="1">
      <c r="A60" s="54" t="s">
        <v>248</v>
      </c>
      <c r="B60" s="52">
        <f>SQRT(B56/0.785)</f>
        <v>1.9768510460205488E-2</v>
      </c>
      <c r="C60" s="52" t="s">
        <v>20</v>
      </c>
      <c r="D60" s="52"/>
      <c r="E60" s="52"/>
      <c r="F60" s="52"/>
      <c r="G60" s="52"/>
      <c r="H60" s="52"/>
      <c r="I60" s="52"/>
      <c r="J60" s="52"/>
      <c r="K60" s="8"/>
      <c r="L60" s="8"/>
      <c r="M60" s="26"/>
      <c r="N60"/>
      <c r="O60"/>
      <c r="P60"/>
      <c r="Q60"/>
      <c r="R60"/>
      <c r="S60"/>
    </row>
    <row r="61" spans="1:19">
      <c r="A61" s="56" t="s">
        <v>249</v>
      </c>
      <c r="B61" s="52"/>
      <c r="C61" s="52"/>
      <c r="D61" s="52"/>
      <c r="E61" s="52"/>
      <c r="F61" s="52"/>
      <c r="G61" s="52"/>
      <c r="H61" s="52"/>
      <c r="I61" s="52"/>
      <c r="J61" s="52"/>
      <c r="K61" s="8"/>
      <c r="L61" s="8"/>
      <c r="M61" s="26"/>
      <c r="N61"/>
      <c r="O61"/>
      <c r="P61"/>
      <c r="Q61"/>
      <c r="R61"/>
      <c r="S61"/>
    </row>
    <row r="62" spans="1:19">
      <c r="A62" s="54" t="s">
        <v>250</v>
      </c>
      <c r="B62" s="52">
        <f>(B51-B56)*D19*9.81*B19</f>
        <v>4144.7907232699627</v>
      </c>
      <c r="C62" s="52"/>
      <c r="D62" s="52"/>
      <c r="E62" s="52"/>
      <c r="F62" s="52"/>
      <c r="G62" s="52"/>
      <c r="H62" s="52"/>
      <c r="I62" s="52"/>
      <c r="J62" s="52"/>
      <c r="K62" s="8"/>
      <c r="L62" s="8"/>
      <c r="M62" s="26"/>
      <c r="N62"/>
      <c r="O62"/>
      <c r="P62"/>
      <c r="Q62"/>
      <c r="R62"/>
      <c r="S62"/>
    </row>
    <row r="63" spans="1:19">
      <c r="A63" s="54"/>
      <c r="B63" s="52"/>
      <c r="C63" s="52"/>
      <c r="D63" s="52"/>
      <c r="E63" s="52"/>
      <c r="F63" s="52"/>
      <c r="G63" s="52"/>
      <c r="H63" s="52"/>
      <c r="I63" s="52"/>
      <c r="J63" s="52"/>
      <c r="K63" s="8"/>
      <c r="L63" s="8"/>
      <c r="M63" s="26"/>
      <c r="N63"/>
      <c r="O63"/>
      <c r="P63"/>
      <c r="Q63"/>
      <c r="R63"/>
      <c r="S63"/>
    </row>
    <row r="64" spans="1:19">
      <c r="A64" s="54"/>
      <c r="B64" s="52"/>
      <c r="C64" s="52"/>
      <c r="D64" s="52"/>
      <c r="E64" s="52"/>
      <c r="F64" s="52"/>
      <c r="G64" s="52"/>
      <c r="H64" s="52"/>
      <c r="I64" s="52"/>
      <c r="J64" s="52"/>
      <c r="K64" s="8"/>
      <c r="L64" s="8"/>
      <c r="M64" s="26"/>
      <c r="N64"/>
      <c r="O64"/>
      <c r="P64"/>
      <c r="Q64"/>
      <c r="R64"/>
      <c r="S64"/>
    </row>
    <row r="65" spans="1:19">
      <c r="A65" s="54"/>
      <c r="B65" s="52"/>
      <c r="C65" s="52"/>
      <c r="D65" s="52"/>
      <c r="E65" s="52"/>
      <c r="F65" s="52"/>
      <c r="G65" s="52"/>
      <c r="H65" s="52"/>
      <c r="I65" s="52"/>
      <c r="J65" s="52"/>
      <c r="K65" s="8"/>
      <c r="L65" s="8"/>
      <c r="M65" s="26"/>
      <c r="N65"/>
      <c r="O65"/>
      <c r="P65"/>
      <c r="Q65"/>
      <c r="R65"/>
      <c r="S65"/>
    </row>
    <row r="66" spans="1:19">
      <c r="A66" s="54" t="s">
        <v>251</v>
      </c>
      <c r="B66" s="52">
        <f>B32*B19/(2.1*10^11*B56)</f>
        <v>0.14631310834720557</v>
      </c>
      <c r="C66" s="52" t="s">
        <v>20</v>
      </c>
      <c r="D66" s="52"/>
      <c r="E66" s="52"/>
      <c r="F66" s="52"/>
      <c r="G66" s="52"/>
      <c r="H66" s="52"/>
      <c r="I66" s="52"/>
      <c r="J66" s="52"/>
      <c r="K66" s="8"/>
      <c r="L66" s="8"/>
      <c r="M66" s="26"/>
      <c r="N66"/>
      <c r="O66"/>
      <c r="P66"/>
      <c r="Q66"/>
      <c r="R66"/>
      <c r="S66"/>
    </row>
    <row r="67" spans="1:19">
      <c r="A67" s="54" t="s">
        <v>252</v>
      </c>
      <c r="B67" s="52">
        <f>0.785*0.051^2</f>
        <v>2.041785E-3</v>
      </c>
      <c r="C67" s="52" t="s">
        <v>20</v>
      </c>
      <c r="D67" s="52"/>
      <c r="E67" s="52"/>
      <c r="F67" s="52"/>
      <c r="G67" s="52"/>
      <c r="H67" s="52"/>
      <c r="I67" s="52"/>
      <c r="J67" s="52"/>
      <c r="K67" s="8"/>
      <c r="L67" s="8"/>
      <c r="M67" s="26"/>
      <c r="N67"/>
      <c r="O67"/>
      <c r="P67"/>
      <c r="Q67"/>
      <c r="R67"/>
      <c r="S67"/>
    </row>
    <row r="68" spans="1:19">
      <c r="A68" s="54"/>
      <c r="B68" s="52"/>
      <c r="C68" s="52"/>
      <c r="D68" s="52"/>
      <c r="E68" s="52"/>
      <c r="F68" s="52"/>
      <c r="G68" s="52"/>
      <c r="H68" s="52"/>
      <c r="I68" s="52"/>
      <c r="J68" s="52"/>
      <c r="K68" s="8"/>
      <c r="L68" s="8"/>
      <c r="M68" s="26"/>
      <c r="N68"/>
      <c r="O68"/>
      <c r="P68"/>
      <c r="Q68"/>
      <c r="R68"/>
      <c r="S68"/>
    </row>
    <row r="69" spans="1:19">
      <c r="A69" s="54"/>
      <c r="B69" s="52"/>
      <c r="C69" s="52"/>
      <c r="D69" s="52"/>
      <c r="E69" s="52"/>
      <c r="F69" s="52"/>
      <c r="G69" s="52"/>
      <c r="H69" s="52"/>
      <c r="I69" s="52"/>
      <c r="J69" s="52"/>
      <c r="K69" s="8"/>
      <c r="L69" s="8"/>
      <c r="M69" s="26"/>
      <c r="N69"/>
      <c r="O69"/>
      <c r="P69"/>
      <c r="Q69"/>
      <c r="R69"/>
      <c r="S69"/>
    </row>
    <row r="70" spans="1:19">
      <c r="A70" s="54"/>
      <c r="B70" s="52"/>
      <c r="C70" s="52"/>
      <c r="D70" s="52"/>
      <c r="E70" s="52"/>
      <c r="F70" s="52"/>
      <c r="G70" s="52"/>
      <c r="H70" s="52"/>
      <c r="I70" s="52"/>
      <c r="J70" s="52"/>
      <c r="K70" s="8"/>
      <c r="L70" s="8"/>
      <c r="M70" s="26"/>
      <c r="N70"/>
      <c r="O70"/>
      <c r="P70"/>
      <c r="Q70"/>
      <c r="R70"/>
      <c r="S70"/>
    </row>
    <row r="71" spans="1:19">
      <c r="A71" s="54"/>
      <c r="B71" s="52"/>
      <c r="C71" s="52"/>
      <c r="D71" s="52"/>
      <c r="E71" s="52"/>
      <c r="F71" s="52"/>
      <c r="G71" s="52"/>
      <c r="H71" s="52"/>
      <c r="I71" s="52"/>
      <c r="J71" s="52"/>
      <c r="K71" s="8"/>
      <c r="L71" s="8"/>
      <c r="M71" s="26"/>
      <c r="N71"/>
      <c r="O71"/>
      <c r="P71"/>
      <c r="Q71"/>
      <c r="R71"/>
      <c r="S71"/>
    </row>
    <row r="72" spans="1:19">
      <c r="A72" s="70" t="s">
        <v>253</v>
      </c>
      <c r="B72" s="52">
        <f>(B51-B56)/(B67-B56)</f>
        <v>0.28649184548895845</v>
      </c>
      <c r="C72" s="52"/>
      <c r="D72" s="52"/>
      <c r="E72" s="52"/>
      <c r="F72" s="52"/>
      <c r="G72" s="52"/>
      <c r="H72" s="52"/>
      <c r="I72" s="52"/>
      <c r="J72" s="52"/>
      <c r="K72" s="8"/>
      <c r="L72" s="8"/>
      <c r="M72" s="26"/>
      <c r="N72"/>
      <c r="O72"/>
      <c r="P72"/>
      <c r="Q72"/>
      <c r="R72"/>
      <c r="S72"/>
    </row>
    <row r="73" spans="1:19">
      <c r="A73" s="70" t="s">
        <v>254</v>
      </c>
      <c r="B73" s="52">
        <f>0.785*(E20^2-0.051^2)</f>
        <v>7.8421500000000032E-4</v>
      </c>
      <c r="C73" s="52" t="s">
        <v>20</v>
      </c>
      <c r="D73" s="52"/>
      <c r="E73" s="52"/>
      <c r="F73" s="52"/>
      <c r="G73" s="52"/>
      <c r="H73" s="52"/>
      <c r="I73" s="52"/>
      <c r="J73" s="52"/>
      <c r="K73" s="8"/>
      <c r="L73" s="8"/>
      <c r="M73" s="26"/>
      <c r="N73"/>
      <c r="O73"/>
      <c r="P73"/>
      <c r="Q73"/>
      <c r="R73"/>
      <c r="S73"/>
    </row>
    <row r="74" spans="1:19">
      <c r="A74" s="54"/>
      <c r="B74" s="52"/>
      <c r="C74" s="52"/>
      <c r="D74" s="52"/>
      <c r="E74" s="52"/>
      <c r="F74" s="52"/>
      <c r="G74" s="52"/>
      <c r="H74" s="52"/>
      <c r="I74" s="52"/>
      <c r="J74" s="52"/>
      <c r="K74" s="8"/>
      <c r="L74" s="8"/>
      <c r="M74" s="26"/>
      <c r="N74"/>
      <c r="O74"/>
      <c r="P74"/>
      <c r="Q74"/>
      <c r="R74"/>
      <c r="S74"/>
    </row>
    <row r="75" spans="1:19">
      <c r="A75" s="54"/>
      <c r="B75" s="52"/>
      <c r="C75" s="52"/>
      <c r="D75" s="52"/>
      <c r="E75" s="52"/>
      <c r="F75" s="52"/>
      <c r="G75" s="52"/>
      <c r="H75" s="52"/>
      <c r="I75" s="52"/>
      <c r="J75" s="52"/>
      <c r="K75" s="8"/>
      <c r="L75" s="8"/>
      <c r="M75" s="26"/>
      <c r="N75"/>
      <c r="O75"/>
      <c r="P75"/>
      <c r="Q75"/>
      <c r="R75"/>
      <c r="S75"/>
    </row>
    <row r="76" spans="1:19">
      <c r="A76" s="54"/>
      <c r="B76" s="52"/>
      <c r="C76" s="52"/>
      <c r="D76" s="52"/>
      <c r="E76" s="52"/>
      <c r="F76" s="52"/>
      <c r="G76" s="52"/>
      <c r="H76" s="52"/>
      <c r="I76" s="52"/>
      <c r="J76" s="52"/>
      <c r="K76" s="8"/>
      <c r="L76" s="8"/>
      <c r="M76" s="26"/>
      <c r="N76"/>
      <c r="O76"/>
      <c r="P76"/>
      <c r="Q76"/>
      <c r="R76"/>
      <c r="S76"/>
    </row>
    <row r="77" spans="1:19">
      <c r="A77" s="70" t="s">
        <v>255</v>
      </c>
      <c r="B77" s="52">
        <f>B73/(B73+B56)</f>
        <v>0.71881156187170792</v>
      </c>
      <c r="C77" s="52"/>
      <c r="D77" s="52"/>
      <c r="E77" s="52"/>
      <c r="F77" s="52"/>
      <c r="G77" s="52"/>
      <c r="H77" s="52"/>
      <c r="I77" s="52"/>
      <c r="J77" s="52"/>
      <c r="K77" s="8"/>
      <c r="L77" s="8"/>
      <c r="M77" s="26"/>
      <c r="N77"/>
      <c r="O77"/>
      <c r="P77"/>
      <c r="Q77"/>
      <c r="R77"/>
      <c r="S77"/>
    </row>
    <row r="78" spans="1:19" ht="16.5">
      <c r="A78" s="56" t="s">
        <v>256</v>
      </c>
      <c r="B78" s="52"/>
      <c r="C78" s="52"/>
      <c r="D78" s="52"/>
      <c r="E78" s="52"/>
      <c r="F78" s="52"/>
      <c r="G78" s="52"/>
      <c r="H78" s="52"/>
      <c r="I78" s="52"/>
      <c r="J78" s="52"/>
      <c r="K78" s="8"/>
      <c r="L78" s="8"/>
      <c r="M78" s="26"/>
      <c r="N78"/>
      <c r="O78"/>
      <c r="P78"/>
      <c r="Q78"/>
      <c r="R78"/>
      <c r="S78"/>
    </row>
    <row r="79" spans="1:19">
      <c r="A79" s="54"/>
      <c r="B79" s="52"/>
      <c r="C79" s="52"/>
      <c r="D79" s="52"/>
      <c r="E79" s="52"/>
      <c r="F79" s="52"/>
      <c r="G79" s="52"/>
      <c r="H79" s="52"/>
      <c r="I79" s="52"/>
      <c r="J79" s="52"/>
      <c r="K79" s="8"/>
      <c r="L79" s="8"/>
      <c r="M79" s="26"/>
      <c r="N79" s="43"/>
      <c r="O79"/>
      <c r="P79"/>
      <c r="Q79"/>
      <c r="R79"/>
      <c r="S79"/>
    </row>
    <row r="80" spans="1:19">
      <c r="A80" s="70" t="s">
        <v>257</v>
      </c>
      <c r="B80" s="52">
        <v>1.1000000000000001</v>
      </c>
      <c r="C80" s="52"/>
      <c r="D80" s="52"/>
      <c r="E80" s="52"/>
      <c r="F80" s="52"/>
      <c r="G80" s="52"/>
      <c r="H80" s="52"/>
      <c r="I80" s="52"/>
      <c r="J80" s="52"/>
      <c r="K80" s="8"/>
      <c r="L80" s="8"/>
      <c r="M80" s="26"/>
      <c r="N80"/>
      <c r="O80"/>
      <c r="P80"/>
      <c r="Q80"/>
      <c r="R80"/>
      <c r="S80"/>
    </row>
    <row r="81" spans="1:19">
      <c r="A81" s="70" t="s">
        <v>258</v>
      </c>
      <c r="B81" s="52">
        <v>0.9</v>
      </c>
      <c r="C81" s="52"/>
      <c r="D81" s="52"/>
      <c r="E81" s="52"/>
      <c r="F81" s="52"/>
      <c r="G81" s="52"/>
      <c r="H81" s="52"/>
      <c r="I81" s="52"/>
      <c r="J81" s="52"/>
      <c r="K81" s="8"/>
      <c r="L81" s="8"/>
      <c r="M81" s="26"/>
      <c r="N81"/>
      <c r="O81"/>
      <c r="P81"/>
      <c r="Q81"/>
      <c r="R81"/>
      <c r="S81"/>
    </row>
    <row r="82" spans="1:19">
      <c r="A82" s="70" t="s">
        <v>259</v>
      </c>
      <c r="B82" s="52">
        <v>0.73</v>
      </c>
      <c r="C82" s="52"/>
      <c r="D82" s="52"/>
      <c r="E82" s="52"/>
      <c r="F82" s="52"/>
      <c r="G82" s="52"/>
      <c r="H82" s="52"/>
      <c r="I82" s="52"/>
      <c r="J82" s="52"/>
      <c r="K82" s="8"/>
      <c r="L82" s="8"/>
      <c r="M82" s="26"/>
      <c r="N82"/>
      <c r="O82"/>
      <c r="P82"/>
      <c r="Q82"/>
      <c r="R82"/>
      <c r="S82"/>
    </row>
    <row r="83" spans="1:19">
      <c r="A83" s="54" t="s">
        <v>260</v>
      </c>
      <c r="B83" s="52">
        <v>1.56</v>
      </c>
      <c r="C83" s="52"/>
      <c r="D83" s="52"/>
      <c r="E83" s="52"/>
      <c r="F83" s="52"/>
      <c r="G83" s="52"/>
      <c r="H83" s="52"/>
      <c r="I83" s="52"/>
      <c r="J83" s="52"/>
      <c r="K83" s="8"/>
      <c r="L83" s="8"/>
      <c r="M83" s="26"/>
      <c r="N83"/>
      <c r="O83"/>
      <c r="P83"/>
      <c r="Q83"/>
      <c r="R83"/>
      <c r="S83"/>
    </row>
    <row r="84" spans="1:19">
      <c r="A84" s="54"/>
      <c r="B84" s="52"/>
      <c r="C84" s="52"/>
      <c r="D84" s="52"/>
      <c r="E84" s="52"/>
      <c r="F84" s="52"/>
      <c r="G84" s="52"/>
      <c r="H84" s="52"/>
      <c r="I84" s="52"/>
      <c r="J84" s="52"/>
      <c r="K84" s="8"/>
      <c r="L84" s="8"/>
      <c r="M84" s="26"/>
      <c r="N84"/>
      <c r="O84"/>
      <c r="P84"/>
      <c r="Q84"/>
      <c r="R84"/>
      <c r="S84"/>
    </row>
    <row r="85" spans="1:19">
      <c r="A85" s="54"/>
      <c r="B85" s="52"/>
      <c r="C85" s="52"/>
      <c r="D85" s="52"/>
      <c r="E85" s="52"/>
      <c r="F85" s="52"/>
      <c r="G85" s="52"/>
      <c r="H85" s="52"/>
      <c r="I85" s="52"/>
      <c r="J85" s="52"/>
      <c r="K85" s="8"/>
      <c r="L85" s="8"/>
      <c r="M85" s="26"/>
      <c r="N85"/>
      <c r="O85"/>
      <c r="P85"/>
      <c r="Q85"/>
      <c r="R85"/>
      <c r="S85"/>
    </row>
    <row r="86" spans="1:19">
      <c r="A86" s="54"/>
      <c r="B86" s="52"/>
      <c r="C86" s="52"/>
      <c r="D86" s="52"/>
      <c r="E86" s="52"/>
      <c r="F86" s="52"/>
      <c r="G86" s="52"/>
      <c r="H86" s="52"/>
      <c r="I86" s="52"/>
      <c r="J86" s="52"/>
      <c r="K86" s="8"/>
      <c r="L86" s="8"/>
      <c r="M86" s="26"/>
      <c r="N86"/>
      <c r="O86"/>
      <c r="P86"/>
      <c r="Q86"/>
      <c r="R86"/>
      <c r="S86"/>
    </row>
    <row r="87" spans="1:19">
      <c r="A87" s="54"/>
      <c r="B87" s="52"/>
      <c r="C87" s="52"/>
      <c r="D87" s="52"/>
      <c r="E87" s="52"/>
      <c r="F87" s="52"/>
      <c r="G87" s="52"/>
      <c r="H87" s="52"/>
      <c r="I87" s="52"/>
      <c r="J87" s="52"/>
      <c r="K87" s="8"/>
      <c r="L87" s="8"/>
      <c r="M87" s="26"/>
      <c r="N87"/>
      <c r="O87"/>
      <c r="P87"/>
      <c r="Q87"/>
      <c r="R87"/>
      <c r="S87"/>
    </row>
    <row r="88" spans="1:19">
      <c r="A88" s="54"/>
      <c r="B88" s="52"/>
      <c r="C88" s="52"/>
      <c r="D88" s="52"/>
      <c r="E88" s="52"/>
      <c r="F88" s="52"/>
      <c r="G88" s="52"/>
      <c r="H88" s="52"/>
      <c r="I88" s="52"/>
      <c r="J88" s="52"/>
      <c r="K88" s="8"/>
      <c r="L88" s="8"/>
      <c r="M88" s="26"/>
      <c r="N88"/>
      <c r="O88"/>
      <c r="P88"/>
      <c r="Q88"/>
      <c r="R88"/>
      <c r="S88"/>
    </row>
    <row r="89" spans="1:19">
      <c r="A89" s="54"/>
      <c r="B89" s="52"/>
      <c r="C89" s="52"/>
      <c r="D89" s="52"/>
      <c r="E89" s="52"/>
      <c r="F89" s="52"/>
      <c r="G89" s="52"/>
      <c r="H89" s="52"/>
      <c r="I89" s="52"/>
      <c r="J89" s="52"/>
      <c r="K89" s="8"/>
      <c r="L89" s="8"/>
      <c r="M89" s="26"/>
      <c r="N89"/>
      <c r="O89"/>
      <c r="P89"/>
      <c r="Q89"/>
      <c r="R89"/>
      <c r="S89"/>
    </row>
    <row r="90" spans="1:19">
      <c r="A90" s="54" t="s">
        <v>243</v>
      </c>
      <c r="B90" s="52">
        <f>B32+B49+(1/3)*B80*(A20/B60)*SQRT(B29^2*I19/9.81)*(B40+0.3*B72*B62)*SQRT(B81*B77-(B66/I19))+B80^2*(B29^2*I19/(2*9.81))*(B81-(2*B66/(B77*I19)))*(1-B77/2)*B40</f>
        <v>45995.264171085859</v>
      </c>
      <c r="C90" s="52" t="s">
        <v>131</v>
      </c>
      <c r="D90" s="52"/>
      <c r="E90" s="52"/>
      <c r="F90" s="52"/>
      <c r="G90" s="52"/>
      <c r="H90" s="52"/>
      <c r="I90" s="52"/>
      <c r="J90" s="52"/>
      <c r="K90" s="8"/>
      <c r="L90" s="8"/>
      <c r="M90" s="26"/>
      <c r="N90"/>
      <c r="O90"/>
      <c r="P90"/>
      <c r="Q90"/>
      <c r="R90"/>
      <c r="S90"/>
    </row>
    <row r="91" spans="1:19">
      <c r="A91" s="54"/>
      <c r="B91" s="52"/>
      <c r="C91" s="52"/>
      <c r="D91" s="52"/>
      <c r="E91" s="52"/>
      <c r="F91" s="52"/>
      <c r="G91" s="52"/>
      <c r="H91" s="52"/>
      <c r="I91" s="52"/>
      <c r="J91" s="52"/>
      <c r="K91" s="8"/>
      <c r="L91" s="8"/>
      <c r="M91" s="26"/>
      <c r="N91"/>
      <c r="O91"/>
      <c r="P91"/>
      <c r="Q91"/>
      <c r="R91"/>
      <c r="S91"/>
    </row>
    <row r="92" spans="1:19">
      <c r="A92" s="54"/>
      <c r="B92" s="52"/>
      <c r="C92" s="52"/>
      <c r="D92" s="52"/>
      <c r="E92" s="52"/>
      <c r="F92" s="52"/>
      <c r="G92" s="52"/>
      <c r="H92" s="52"/>
      <c r="I92" s="52"/>
      <c r="J92" s="52"/>
      <c r="K92" s="8"/>
      <c r="L92" s="8"/>
      <c r="M92" s="26"/>
      <c r="N92"/>
      <c r="O92"/>
      <c r="P92"/>
      <c r="Q92"/>
      <c r="R92"/>
      <c r="S92"/>
    </row>
    <row r="93" spans="1:19">
      <c r="A93" s="54"/>
      <c r="B93" s="52"/>
      <c r="C93" s="52"/>
      <c r="D93" s="52"/>
      <c r="E93" s="52"/>
      <c r="F93" s="52"/>
      <c r="G93" s="52"/>
      <c r="H93" s="52"/>
      <c r="I93" s="52"/>
      <c r="J93" s="52"/>
      <c r="K93" s="8"/>
      <c r="L93" s="8"/>
      <c r="M93" s="26"/>
      <c r="N93"/>
      <c r="O93"/>
      <c r="P93"/>
      <c r="Q93"/>
      <c r="R93"/>
      <c r="S93"/>
    </row>
    <row r="94" spans="1:19">
      <c r="A94" s="54"/>
      <c r="B94" s="52"/>
      <c r="C94" s="52"/>
      <c r="D94" s="52"/>
      <c r="E94" s="52"/>
      <c r="F94" s="52"/>
      <c r="G94" s="52"/>
      <c r="H94" s="52"/>
      <c r="I94" s="52"/>
      <c r="J94" s="52"/>
      <c r="K94" s="8"/>
      <c r="L94" s="8"/>
      <c r="M94" s="26"/>
      <c r="N94"/>
      <c r="O94"/>
      <c r="P94"/>
      <c r="Q94"/>
      <c r="R94"/>
      <c r="S94"/>
    </row>
    <row r="95" spans="1:19">
      <c r="A95" s="54"/>
      <c r="B95" s="52"/>
      <c r="C95" s="52"/>
      <c r="D95" s="52"/>
      <c r="E95" s="52"/>
      <c r="F95" s="52"/>
      <c r="G95" s="52"/>
      <c r="H95" s="52"/>
      <c r="I95" s="52"/>
      <c r="J95" s="52"/>
      <c r="K95" s="8"/>
      <c r="L95" s="8"/>
      <c r="M95" s="26"/>
      <c r="N95"/>
      <c r="O95"/>
      <c r="P95"/>
      <c r="Q95"/>
      <c r="R95"/>
      <c r="S95"/>
    </row>
    <row r="96" spans="1:19">
      <c r="A96" s="54"/>
      <c r="B96" s="52"/>
      <c r="C96" s="52"/>
      <c r="D96" s="52"/>
      <c r="E96" s="52"/>
      <c r="F96" s="52"/>
      <c r="G96" s="52"/>
      <c r="H96" s="52"/>
      <c r="I96" s="52"/>
      <c r="J96" s="52"/>
      <c r="K96" s="8"/>
      <c r="L96" s="8"/>
      <c r="M96" s="26"/>
      <c r="N96"/>
      <c r="O96"/>
      <c r="P96"/>
      <c r="Q96"/>
      <c r="R96"/>
      <c r="S96"/>
    </row>
    <row r="97" spans="1:19">
      <c r="A97" s="54" t="s">
        <v>244</v>
      </c>
      <c r="B97" s="52">
        <f>B49-(1/3)*B82*(A20/B60)*SQRT(B29^2*I19/9.81)*(SQRT(B83*B77-(B66/I19)))*B40-B82^2*(B29^2*I19/(2*9.81))*(B83-(2*B66/(B77*I19)))*(1-B77/2)*B40</f>
        <v>10618.02061054313</v>
      </c>
      <c r="C97" s="52" t="s">
        <v>131</v>
      </c>
      <c r="D97" s="52"/>
      <c r="E97" s="52"/>
      <c r="F97" s="52"/>
      <c r="G97" s="52"/>
      <c r="H97" s="52"/>
      <c r="I97" s="52"/>
      <c r="J97" s="52"/>
      <c r="K97" s="8"/>
      <c r="L97" s="8"/>
      <c r="M97" s="26"/>
      <c r="N97"/>
      <c r="O97"/>
      <c r="P97"/>
      <c r="Q97"/>
      <c r="R97"/>
      <c r="S97"/>
    </row>
    <row r="98" spans="1:19">
      <c r="A98" s="54" t="s">
        <v>261</v>
      </c>
      <c r="B98" s="52"/>
      <c r="C98" s="52"/>
      <c r="D98" s="52"/>
      <c r="E98" s="52"/>
      <c r="F98" s="52"/>
      <c r="G98" s="52"/>
      <c r="H98" s="52"/>
      <c r="I98" s="52"/>
      <c r="J98" s="52"/>
      <c r="K98" s="8"/>
      <c r="L98" s="8"/>
      <c r="M98" s="26"/>
      <c r="N98"/>
      <c r="O98"/>
      <c r="P98"/>
      <c r="Q98"/>
      <c r="R98"/>
      <c r="S98"/>
    </row>
    <row r="99" spans="1:19">
      <c r="A99" s="54"/>
      <c r="B99" s="52"/>
      <c r="C99" s="52"/>
      <c r="D99" s="52"/>
      <c r="E99" s="52"/>
      <c r="F99" s="52"/>
      <c r="G99" s="52"/>
      <c r="H99" s="52"/>
      <c r="I99" s="52"/>
      <c r="J99" s="52"/>
      <c r="K99" s="8"/>
      <c r="L99" s="8"/>
      <c r="M99" s="26"/>
      <c r="N99"/>
      <c r="O99"/>
      <c r="P99"/>
      <c r="Q99"/>
      <c r="R99"/>
      <c r="S99"/>
    </row>
    <row r="100" spans="1:19">
      <c r="A100" s="54"/>
      <c r="B100" s="52"/>
      <c r="C100" s="52"/>
      <c r="D100" s="52"/>
      <c r="E100" s="52"/>
      <c r="F100" s="52"/>
      <c r="G100" s="52"/>
      <c r="H100" s="52"/>
      <c r="I100" s="52"/>
      <c r="J100" s="52"/>
      <c r="K100" s="8"/>
      <c r="L100" s="8"/>
      <c r="M100" s="26"/>
      <c r="N100"/>
      <c r="O100"/>
      <c r="P100"/>
      <c r="Q100"/>
      <c r="R100"/>
      <c r="S100"/>
    </row>
    <row r="101" spans="1:19">
      <c r="A101" s="54" t="s">
        <v>243</v>
      </c>
      <c r="B101" s="52">
        <f>B32+B49+0.011*(A20/B60)*H19*B40*SQRT(B77*I19-B66)+1000</f>
        <v>41225.071233297087</v>
      </c>
      <c r="C101" s="52" t="s">
        <v>131</v>
      </c>
      <c r="D101" s="52"/>
      <c r="E101" s="52"/>
      <c r="F101" s="52"/>
      <c r="G101" s="52"/>
      <c r="H101" s="52"/>
      <c r="I101" s="52"/>
      <c r="J101" s="52"/>
      <c r="K101" s="8"/>
      <c r="L101" s="8"/>
      <c r="M101" s="26"/>
      <c r="N101"/>
      <c r="O101"/>
      <c r="P101"/>
      <c r="Q101"/>
      <c r="R101"/>
      <c r="S101"/>
    </row>
    <row r="102" spans="1:19">
      <c r="A102" s="54"/>
      <c r="B102" s="52"/>
      <c r="C102" s="52"/>
      <c r="D102" s="52"/>
      <c r="E102" s="52"/>
      <c r="F102" s="52"/>
      <c r="G102" s="52"/>
      <c r="H102" s="52"/>
      <c r="I102" s="52"/>
      <c r="J102" s="52"/>
      <c r="K102" s="8"/>
      <c r="L102" s="8"/>
      <c r="M102" s="26"/>
      <c r="N102"/>
      <c r="O102"/>
      <c r="P102"/>
      <c r="Q102"/>
      <c r="R102"/>
      <c r="S102"/>
    </row>
    <row r="103" spans="1:19">
      <c r="A103" s="54"/>
      <c r="B103" s="52"/>
      <c r="C103" s="52"/>
      <c r="D103" s="52"/>
      <c r="E103" s="52"/>
      <c r="F103" s="52"/>
      <c r="G103" s="52"/>
      <c r="H103" s="52"/>
      <c r="I103" s="52"/>
      <c r="J103" s="52"/>
      <c r="K103" s="8"/>
      <c r="L103" s="8"/>
      <c r="M103" s="26"/>
      <c r="N103"/>
      <c r="O103"/>
      <c r="P103"/>
      <c r="Q103"/>
      <c r="R103"/>
      <c r="S103"/>
    </row>
    <row r="104" spans="1:19">
      <c r="A104" s="54"/>
      <c r="B104" s="52"/>
      <c r="C104" s="52"/>
      <c r="D104" s="52"/>
      <c r="E104" s="52"/>
      <c r="F104" s="52"/>
      <c r="G104" s="52"/>
      <c r="H104" s="52"/>
      <c r="I104" s="52"/>
      <c r="J104" s="52"/>
      <c r="K104" s="8"/>
      <c r="L104" s="8"/>
      <c r="M104" s="26"/>
      <c r="N104"/>
      <c r="O104"/>
      <c r="P104"/>
      <c r="Q104"/>
      <c r="R104"/>
      <c r="S104"/>
    </row>
    <row r="105" spans="1:19">
      <c r="A105" s="54" t="s">
        <v>244</v>
      </c>
      <c r="B105" s="52">
        <f>B49-0.011*(A20/B60)*H19*B40*SQRT(B77*I19-B66)-1000</f>
        <v>13461.734771798463</v>
      </c>
      <c r="C105" s="52" t="s">
        <v>131</v>
      </c>
      <c r="D105" s="52"/>
      <c r="E105" s="52"/>
      <c r="F105" s="52"/>
      <c r="G105" s="52"/>
      <c r="H105" s="52"/>
      <c r="I105" s="52"/>
      <c r="J105" s="52"/>
      <c r="K105" s="8"/>
      <c r="L105" s="8"/>
      <c r="M105" s="26"/>
      <c r="N105"/>
      <c r="O105"/>
      <c r="P105"/>
      <c r="Q105"/>
      <c r="R105"/>
      <c r="S105"/>
    </row>
    <row r="106" spans="1:19">
      <c r="A106" s="54" t="s">
        <v>262</v>
      </c>
      <c r="B106" s="52"/>
      <c r="C106" s="52"/>
      <c r="D106" s="52"/>
      <c r="E106" s="52"/>
      <c r="F106" s="52"/>
      <c r="G106" s="52"/>
      <c r="H106" s="52"/>
      <c r="I106" s="52"/>
      <c r="J106" s="52"/>
      <c r="K106" s="8"/>
      <c r="L106" s="8"/>
      <c r="M106" s="26"/>
      <c r="N106"/>
      <c r="O106"/>
      <c r="P106"/>
      <c r="Q106"/>
      <c r="R106"/>
      <c r="S106"/>
    </row>
    <row r="107" spans="1:19">
      <c r="A107" s="54"/>
      <c r="B107" s="52"/>
      <c r="C107" s="52"/>
      <c r="D107" s="52"/>
      <c r="E107" s="52"/>
      <c r="F107" s="52"/>
      <c r="G107" s="52"/>
      <c r="H107" s="52"/>
      <c r="I107" s="52"/>
      <c r="J107" s="52"/>
      <c r="K107" s="8"/>
      <c r="L107" s="8"/>
      <c r="M107" s="26"/>
      <c r="N107"/>
      <c r="O107"/>
      <c r="P107"/>
      <c r="Q107"/>
      <c r="R107"/>
      <c r="S107"/>
    </row>
    <row r="108" spans="1:19">
      <c r="A108" s="54"/>
      <c r="B108" s="52"/>
      <c r="C108" s="52"/>
      <c r="D108" s="52"/>
      <c r="E108" s="52"/>
      <c r="F108" s="52"/>
      <c r="G108" s="52"/>
      <c r="H108" s="52"/>
      <c r="I108" s="52"/>
      <c r="J108" s="52"/>
      <c r="K108" s="8"/>
      <c r="L108" s="8"/>
      <c r="M108" s="26"/>
      <c r="N108"/>
      <c r="O108"/>
      <c r="P108"/>
      <c r="Q108"/>
      <c r="R108"/>
      <c r="S108"/>
    </row>
    <row r="109" spans="1:19">
      <c r="A109" s="54"/>
      <c r="B109" s="52"/>
      <c r="C109" s="52"/>
      <c r="D109" s="52"/>
      <c r="E109" s="52"/>
      <c r="F109" s="52"/>
      <c r="G109" s="52"/>
      <c r="H109" s="52"/>
      <c r="I109" s="52"/>
      <c r="J109" s="52"/>
      <c r="K109" s="8"/>
      <c r="L109" s="8"/>
      <c r="M109" s="26"/>
      <c r="N109"/>
      <c r="O109"/>
      <c r="P109"/>
      <c r="Q109"/>
      <c r="R109"/>
      <c r="S109"/>
    </row>
    <row r="110" spans="1:19">
      <c r="A110" s="70" t="s">
        <v>263</v>
      </c>
      <c r="B110" s="52">
        <f>B26*180/3.1416</f>
        <v>14.733165993670193</v>
      </c>
      <c r="C110" s="52">
        <f>B110*3.14/180</f>
        <v>0.25701189566735783</v>
      </c>
      <c r="D110" s="52" t="s">
        <v>264</v>
      </c>
      <c r="E110" s="52">
        <f>TAN(C110)</f>
        <v>0.2628245086445985</v>
      </c>
      <c r="F110" s="52"/>
      <c r="G110" s="52"/>
      <c r="H110" s="52"/>
      <c r="I110" s="52"/>
      <c r="J110" s="52"/>
      <c r="K110" s="8"/>
      <c r="L110" s="8"/>
      <c r="M110" s="26"/>
      <c r="N110"/>
      <c r="O110"/>
      <c r="P110"/>
      <c r="Q110"/>
      <c r="R110"/>
      <c r="S110"/>
    </row>
    <row r="111" spans="1:19">
      <c r="A111" s="54"/>
      <c r="B111" s="52"/>
      <c r="C111" s="52"/>
      <c r="D111" s="52"/>
      <c r="E111" s="52"/>
      <c r="F111" s="52"/>
      <c r="G111" s="52"/>
      <c r="H111" s="52"/>
      <c r="I111" s="52"/>
      <c r="J111" s="52"/>
      <c r="K111" s="8"/>
      <c r="L111" s="8"/>
      <c r="M111" s="26"/>
      <c r="N111"/>
      <c r="O111"/>
      <c r="P111"/>
      <c r="Q111"/>
      <c r="R111"/>
      <c r="S111"/>
    </row>
    <row r="112" spans="1:19">
      <c r="A112" s="54"/>
      <c r="B112" s="52"/>
      <c r="C112" s="52"/>
      <c r="D112" s="52"/>
      <c r="E112" s="52"/>
      <c r="F112" s="52"/>
      <c r="G112" s="52"/>
      <c r="H112" s="52"/>
      <c r="I112" s="52"/>
      <c r="J112" s="52"/>
      <c r="K112" s="8"/>
      <c r="L112" s="8"/>
      <c r="M112" s="26"/>
      <c r="N112"/>
      <c r="O112"/>
      <c r="P112"/>
      <c r="Q112"/>
      <c r="R112"/>
      <c r="S112"/>
    </row>
    <row r="113" spans="1:19">
      <c r="A113" s="54"/>
      <c r="B113" s="52"/>
      <c r="C113" s="52"/>
      <c r="D113" s="52"/>
      <c r="E113" s="52"/>
      <c r="F113" s="52"/>
      <c r="G113" s="52"/>
      <c r="H113" s="52"/>
      <c r="I113" s="52"/>
      <c r="J113" s="52"/>
      <c r="K113" s="8"/>
      <c r="L113" s="8"/>
      <c r="M113" s="26"/>
      <c r="N113"/>
      <c r="O113"/>
      <c r="P113"/>
      <c r="Q113"/>
      <c r="R113"/>
      <c r="S113"/>
    </row>
    <row r="114" spans="1:19">
      <c r="A114" s="54" t="s">
        <v>243</v>
      </c>
      <c r="B114" s="52">
        <f>B32+B40*(B35+((I19*H19^2*E110)/(C19*B26)))</f>
        <v>41052.043033004513</v>
      </c>
      <c r="C114" s="52" t="s">
        <v>131</v>
      </c>
      <c r="D114" s="52"/>
      <c r="E114" s="52"/>
      <c r="F114" s="52"/>
      <c r="G114" s="52"/>
      <c r="H114" s="52"/>
      <c r="I114" s="52"/>
      <c r="J114" s="52"/>
      <c r="K114" s="8"/>
      <c r="L114" s="8"/>
      <c r="M114" s="26"/>
      <c r="N114"/>
      <c r="O114"/>
      <c r="P114"/>
      <c r="Q114"/>
      <c r="R114"/>
      <c r="S114"/>
    </row>
    <row r="115" spans="1:19">
      <c r="A115" s="54"/>
      <c r="B115" s="52"/>
      <c r="C115" s="52"/>
      <c r="D115" s="52"/>
      <c r="E115" s="52"/>
      <c r="F115" s="52"/>
      <c r="G115" s="52"/>
      <c r="H115" s="52"/>
      <c r="I115" s="52"/>
      <c r="J115" s="52"/>
      <c r="K115" s="8"/>
      <c r="L115" s="8"/>
      <c r="M115" s="26"/>
      <c r="N115"/>
      <c r="O115"/>
      <c r="P115"/>
      <c r="Q115"/>
      <c r="R115"/>
      <c r="S115"/>
    </row>
    <row r="116" spans="1:19">
      <c r="A116" s="54"/>
      <c r="B116" s="52"/>
      <c r="C116" s="52"/>
      <c r="D116" s="52"/>
      <c r="E116" s="52"/>
      <c r="F116" s="52"/>
      <c r="G116" s="52"/>
      <c r="H116" s="52"/>
      <c r="I116" s="52"/>
      <c r="J116" s="52"/>
      <c r="K116" s="8"/>
      <c r="L116" s="8"/>
      <c r="M116" s="26"/>
      <c r="N116"/>
      <c r="O116"/>
      <c r="P116"/>
      <c r="Q116"/>
      <c r="R116"/>
      <c r="S116"/>
    </row>
    <row r="117" spans="1:19">
      <c r="A117" s="54"/>
      <c r="B117" s="52"/>
      <c r="C117" s="52"/>
      <c r="D117" s="52"/>
      <c r="E117" s="52"/>
      <c r="F117" s="52"/>
      <c r="G117" s="52"/>
      <c r="H117" s="52"/>
      <c r="I117" s="52"/>
      <c r="J117" s="52"/>
      <c r="K117" s="8"/>
      <c r="L117" s="8"/>
      <c r="M117" s="26"/>
      <c r="N117"/>
      <c r="O117"/>
      <c r="P117"/>
      <c r="Q117"/>
      <c r="R117"/>
      <c r="S117"/>
    </row>
    <row r="118" spans="1:19">
      <c r="A118" s="54" t="s">
        <v>244</v>
      </c>
      <c r="B118" s="52">
        <f>B40*(B35-((I19*H19^2*E110)/(1800*B26)))</f>
        <v>18132.622887319405</v>
      </c>
      <c r="C118" s="52" t="s">
        <v>131</v>
      </c>
      <c r="D118" s="52"/>
      <c r="E118" s="52"/>
      <c r="F118" s="52"/>
      <c r="G118" s="52"/>
      <c r="H118" s="52"/>
      <c r="I118" s="52"/>
      <c r="J118" s="52"/>
      <c r="K118" s="8"/>
      <c r="L118" s="8"/>
      <c r="M118" s="26"/>
      <c r="N118"/>
      <c r="O118"/>
      <c r="P118"/>
      <c r="Q118"/>
      <c r="R118"/>
      <c r="S118"/>
    </row>
    <row r="119" spans="1:19">
      <c r="A119" s="54" t="s">
        <v>265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8"/>
      <c r="L119" s="8"/>
      <c r="M119" s="26"/>
      <c r="N119"/>
      <c r="O119"/>
      <c r="P119"/>
      <c r="Q119"/>
      <c r="R119"/>
      <c r="S119"/>
    </row>
    <row r="120" spans="1:19">
      <c r="A120" s="54"/>
      <c r="B120" s="52"/>
      <c r="C120" s="52"/>
      <c r="D120" s="52"/>
      <c r="E120" s="52"/>
      <c r="F120" s="52"/>
      <c r="G120" s="52"/>
      <c r="H120" s="52"/>
      <c r="I120" s="52"/>
      <c r="J120" s="52"/>
      <c r="K120" s="8"/>
      <c r="L120" s="8"/>
      <c r="M120" s="26"/>
      <c r="N120"/>
      <c r="O120"/>
      <c r="P120"/>
      <c r="Q120"/>
      <c r="R120"/>
      <c r="S120"/>
    </row>
    <row r="121" spans="1:19">
      <c r="A121" s="54"/>
      <c r="B121" s="52"/>
      <c r="C121" s="52"/>
      <c r="D121" s="52"/>
      <c r="E121" s="52"/>
      <c r="F121" s="52"/>
      <c r="G121" s="52"/>
      <c r="H121" s="52"/>
      <c r="I121" s="52"/>
      <c r="J121" s="52"/>
      <c r="K121" s="8"/>
      <c r="L121" s="8"/>
      <c r="M121" s="26"/>
      <c r="N121"/>
      <c r="O121"/>
      <c r="P121"/>
      <c r="Q121"/>
      <c r="R121"/>
      <c r="S121"/>
    </row>
    <row r="122" spans="1:19">
      <c r="A122" s="54"/>
      <c r="B122" s="52"/>
      <c r="C122" s="52"/>
      <c r="D122" s="52"/>
      <c r="E122" s="52"/>
      <c r="F122" s="52"/>
      <c r="G122" s="52"/>
      <c r="H122" s="52"/>
      <c r="I122" s="52"/>
      <c r="J122" s="52"/>
      <c r="K122" s="8"/>
      <c r="L122" s="8"/>
      <c r="M122" s="26"/>
      <c r="N122"/>
      <c r="O122"/>
      <c r="P122"/>
      <c r="Q122"/>
      <c r="R122"/>
      <c r="S122"/>
    </row>
    <row r="123" spans="1:19">
      <c r="A123" s="54"/>
      <c r="B123" s="52"/>
      <c r="C123" s="52"/>
      <c r="D123" s="52"/>
      <c r="E123" s="52"/>
      <c r="F123" s="52"/>
      <c r="G123" s="52"/>
      <c r="H123" s="52"/>
      <c r="I123" s="52"/>
      <c r="J123" s="52"/>
      <c r="K123" s="8"/>
      <c r="L123" s="8"/>
      <c r="M123" s="26"/>
      <c r="N123"/>
      <c r="O123"/>
      <c r="P123"/>
      <c r="Q123"/>
      <c r="R123"/>
      <c r="S123"/>
    </row>
    <row r="124" spans="1:19">
      <c r="A124" s="54"/>
      <c r="B124" s="52"/>
      <c r="C124" s="52"/>
      <c r="D124" s="52"/>
      <c r="E124" s="52"/>
      <c r="F124" s="52"/>
      <c r="G124" s="52"/>
      <c r="H124" s="52"/>
      <c r="I124" s="52"/>
      <c r="J124" s="52"/>
      <c r="K124" s="8"/>
      <c r="L124" s="8"/>
      <c r="M124" s="26"/>
      <c r="N124"/>
      <c r="O124"/>
      <c r="P124"/>
      <c r="Q124"/>
      <c r="R124"/>
      <c r="S124"/>
    </row>
    <row r="125" spans="1:19">
      <c r="A125" s="54"/>
      <c r="B125" s="52"/>
      <c r="C125" s="52"/>
      <c r="D125" s="52"/>
      <c r="E125" s="52"/>
      <c r="F125" s="52"/>
      <c r="G125" s="52"/>
      <c r="H125" s="52"/>
      <c r="I125" s="52"/>
      <c r="J125" s="52"/>
      <c r="K125" s="8"/>
      <c r="L125" s="8"/>
      <c r="M125" s="26"/>
      <c r="N125"/>
      <c r="O125"/>
      <c r="P125"/>
      <c r="Q125"/>
      <c r="R125"/>
      <c r="S125"/>
    </row>
    <row r="126" spans="1:19">
      <c r="A126" s="54" t="s">
        <v>241</v>
      </c>
      <c r="B126" s="52">
        <f>1.596</f>
        <v>1.5960000000000001</v>
      </c>
      <c r="C126" s="52"/>
      <c r="D126" s="52"/>
      <c r="E126" s="52"/>
      <c r="F126" s="52"/>
      <c r="G126" s="52"/>
      <c r="H126" s="52"/>
      <c r="I126" s="52"/>
      <c r="J126" s="52"/>
      <c r="K126" s="8"/>
      <c r="L126" s="8"/>
      <c r="M126" s="26"/>
      <c r="N126"/>
      <c r="O126"/>
      <c r="P126"/>
      <c r="Q126"/>
      <c r="R126"/>
      <c r="S126"/>
    </row>
    <row r="127" spans="1:19">
      <c r="A127" s="54"/>
      <c r="B127" s="52"/>
      <c r="C127" s="52"/>
      <c r="D127" s="52"/>
      <c r="E127" s="52"/>
      <c r="F127" s="52"/>
      <c r="G127" s="52"/>
      <c r="H127" s="52"/>
      <c r="I127" s="52"/>
      <c r="J127" s="52"/>
      <c r="K127" s="8"/>
      <c r="L127" s="8"/>
      <c r="M127" s="26"/>
      <c r="N127"/>
      <c r="O127"/>
      <c r="P127"/>
      <c r="Q127"/>
      <c r="R127"/>
      <c r="S127"/>
    </row>
    <row r="128" spans="1:19">
      <c r="A128" s="54"/>
      <c r="B128" s="52"/>
      <c r="C128" s="52"/>
      <c r="D128" s="52"/>
      <c r="E128" s="52"/>
      <c r="F128" s="52"/>
      <c r="G128" s="52"/>
      <c r="H128" s="52"/>
      <c r="I128" s="52"/>
      <c r="J128" s="52"/>
      <c r="K128" s="8"/>
      <c r="L128" s="8"/>
      <c r="M128" s="26"/>
      <c r="N128"/>
      <c r="O128"/>
      <c r="P128"/>
      <c r="Q128"/>
      <c r="R128"/>
      <c r="S128"/>
    </row>
    <row r="129" spans="1:19">
      <c r="A129" s="54"/>
      <c r="B129" s="52"/>
      <c r="C129" s="52"/>
      <c r="D129" s="52"/>
      <c r="E129" s="52"/>
      <c r="F129" s="52"/>
      <c r="G129" s="52"/>
      <c r="H129" s="52"/>
      <c r="I129" s="52"/>
      <c r="J129" s="52"/>
      <c r="K129" s="8"/>
      <c r="L129" s="8"/>
      <c r="M129" s="26"/>
      <c r="N129"/>
      <c r="O129"/>
      <c r="P129"/>
      <c r="Q129"/>
      <c r="R129"/>
      <c r="S129"/>
    </row>
    <row r="130" spans="1:19">
      <c r="A130" s="54" t="s">
        <v>243</v>
      </c>
      <c r="B130" s="52">
        <f>B32+B40+(B40+B72^6*B32)*((B126*1.2*H19^1.6)/900)+2500*I19</f>
        <v>44523.97070078706</v>
      </c>
      <c r="C130" s="52" t="s">
        <v>131</v>
      </c>
      <c r="D130" s="52"/>
      <c r="E130" s="52"/>
      <c r="F130" s="52"/>
      <c r="G130" s="52"/>
      <c r="H130" s="52"/>
      <c r="I130" s="52"/>
      <c r="J130" s="52"/>
      <c r="K130" s="8"/>
      <c r="L130" s="8"/>
      <c r="M130" s="26"/>
      <c r="N130"/>
      <c r="O130"/>
      <c r="P130" t="s">
        <v>266</v>
      </c>
      <c r="Q130" t="s">
        <v>243</v>
      </c>
      <c r="R130" t="s">
        <v>244</v>
      </c>
      <c r="S130"/>
    </row>
    <row r="131" spans="1:19">
      <c r="A131" s="54"/>
      <c r="B131" s="52"/>
      <c r="C131" s="52"/>
      <c r="D131" s="52"/>
      <c r="E131" s="52"/>
      <c r="F131" s="52"/>
      <c r="G131" s="52"/>
      <c r="H131" s="52"/>
      <c r="I131" s="52"/>
      <c r="J131" s="52"/>
      <c r="K131" s="8"/>
      <c r="L131" s="8"/>
      <c r="M131" s="26"/>
      <c r="N131"/>
      <c r="O131"/>
      <c r="P131" s="44" t="s">
        <v>267</v>
      </c>
      <c r="Q131">
        <f>-(B90-B130)</f>
        <v>-1471.2934702987986</v>
      </c>
      <c r="R131"/>
      <c r="S131"/>
    </row>
    <row r="132" spans="1:19">
      <c r="A132" s="54"/>
      <c r="B132" s="52"/>
      <c r="C132" s="52"/>
      <c r="D132" s="52"/>
      <c r="E132" s="52"/>
      <c r="F132" s="52"/>
      <c r="G132" s="52"/>
      <c r="H132" s="52"/>
      <c r="I132" s="52"/>
      <c r="J132" s="52"/>
      <c r="K132" s="8"/>
      <c r="L132" s="8"/>
      <c r="M132" s="26"/>
      <c r="N132"/>
      <c r="O132"/>
      <c r="P132" t="s">
        <v>268</v>
      </c>
      <c r="Q132">
        <f>-(B90-B101)</f>
        <v>-4770.1929377887718</v>
      </c>
      <c r="R132">
        <f>-(B97-B105)</f>
        <v>2843.7141612553332</v>
      </c>
      <c r="S132"/>
    </row>
    <row r="133" spans="1:19">
      <c r="A133" s="54"/>
      <c r="B133" s="52"/>
      <c r="C133" s="52"/>
      <c r="D133" s="52"/>
      <c r="E133" s="52"/>
      <c r="F133" s="52"/>
      <c r="G133" s="52"/>
      <c r="H133" s="52"/>
      <c r="I133" s="52"/>
      <c r="J133" s="52"/>
      <c r="K133" s="8"/>
      <c r="L133" s="8"/>
      <c r="M133" s="26"/>
      <c r="N133"/>
      <c r="O133"/>
      <c r="P133" t="s">
        <v>269</v>
      </c>
      <c r="Q133"/>
      <c r="R133">
        <f>-(B97-B44)</f>
        <v>6511.6788195046411</v>
      </c>
      <c r="S133"/>
    </row>
    <row r="134" spans="1:19" ht="16.5" thickBot="1">
      <c r="A134" s="71"/>
      <c r="B134" s="59"/>
      <c r="C134" s="59"/>
      <c r="D134" s="59"/>
      <c r="E134" s="59"/>
      <c r="F134" s="59"/>
      <c r="G134" s="59"/>
      <c r="H134" s="59"/>
      <c r="I134" s="59"/>
      <c r="J134" s="59"/>
      <c r="K134" s="13"/>
      <c r="L134" s="13"/>
      <c r="M134" s="24"/>
      <c r="N134"/>
      <c r="O134"/>
      <c r="P134"/>
      <c r="Q134"/>
      <c r="R134"/>
      <c r="S134"/>
    </row>
    <row r="135" spans="1:19" ht="15.75" customHeight="1">
      <c r="A135" s="137" t="s">
        <v>270</v>
      </c>
      <c r="B135" s="138"/>
      <c r="C135" s="138"/>
      <c r="D135" s="138"/>
      <c r="E135" s="138"/>
      <c r="F135" s="138"/>
      <c r="G135" s="138"/>
      <c r="H135" s="138"/>
      <c r="I135" s="138"/>
      <c r="J135" s="51"/>
      <c r="K135" s="22"/>
      <c r="L135" s="22"/>
      <c r="M135" s="23"/>
    </row>
    <row r="136" spans="1:19">
      <c r="A136" s="139"/>
      <c r="B136" s="140"/>
      <c r="C136" s="140"/>
      <c r="D136" s="140"/>
      <c r="E136" s="140"/>
      <c r="F136" s="140"/>
      <c r="G136" s="140"/>
      <c r="H136" s="140"/>
      <c r="I136" s="140"/>
      <c r="J136" s="52"/>
      <c r="K136" s="8"/>
      <c r="L136" s="8"/>
      <c r="M136" s="26"/>
    </row>
    <row r="137" spans="1:19">
      <c r="A137" s="139"/>
      <c r="B137" s="140"/>
      <c r="C137" s="140"/>
      <c r="D137" s="140"/>
      <c r="E137" s="140"/>
      <c r="F137" s="140"/>
      <c r="G137" s="140"/>
      <c r="H137" s="140"/>
      <c r="I137" s="140"/>
      <c r="J137" s="52"/>
      <c r="K137" s="8"/>
      <c r="L137" s="8"/>
      <c r="M137" s="26"/>
    </row>
    <row r="138" spans="1:19" ht="105">
      <c r="A138" s="53" t="s">
        <v>1</v>
      </c>
      <c r="B138" s="35" t="s">
        <v>2</v>
      </c>
      <c r="C138" s="35" t="s">
        <v>3</v>
      </c>
      <c r="D138" s="35" t="s">
        <v>4</v>
      </c>
      <c r="E138" s="35" t="s">
        <v>9</v>
      </c>
      <c r="F138" s="35" t="s">
        <v>49</v>
      </c>
      <c r="G138" s="35" t="s">
        <v>63</v>
      </c>
      <c r="H138" s="72" t="s">
        <v>271</v>
      </c>
      <c r="I138" s="72" t="s">
        <v>272</v>
      </c>
      <c r="J138" s="72" t="s">
        <v>273</v>
      </c>
      <c r="K138" s="46" t="s">
        <v>274</v>
      </c>
      <c r="L138" s="46" t="s">
        <v>275</v>
      </c>
      <c r="M138" s="47" t="s">
        <v>276</v>
      </c>
    </row>
    <row r="139" spans="1:19">
      <c r="A139" s="63">
        <v>40</v>
      </c>
      <c r="B139" s="64">
        <v>1600</v>
      </c>
      <c r="C139" s="64">
        <v>1400</v>
      </c>
      <c r="D139" s="64">
        <v>855</v>
      </c>
      <c r="E139" s="64">
        <v>89</v>
      </c>
      <c r="F139" s="64">
        <v>22</v>
      </c>
      <c r="G139" s="64">
        <v>3</v>
      </c>
      <c r="H139" s="64">
        <f>E140-2*0.0055</f>
        <v>7.8E-2</v>
      </c>
      <c r="I139" s="64">
        <v>7900</v>
      </c>
      <c r="J139" s="64">
        <v>1000000</v>
      </c>
      <c r="K139" s="42">
        <v>0.1</v>
      </c>
      <c r="L139" s="42">
        <v>75</v>
      </c>
      <c r="M139" s="48">
        <v>10.199999999999999</v>
      </c>
    </row>
    <row r="140" spans="1:19">
      <c r="A140" s="63">
        <f>A139/1000</f>
        <v>0.04</v>
      </c>
      <c r="B140" s="29"/>
      <c r="C140" s="29"/>
      <c r="D140" s="29"/>
      <c r="E140" s="64">
        <f>E139/1000</f>
        <v>8.8999999999999996E-2</v>
      </c>
      <c r="F140" s="64">
        <f>F139/1000</f>
        <v>2.1999999999999999E-2</v>
      </c>
      <c r="G140" s="29"/>
      <c r="H140" s="64"/>
      <c r="I140" s="64"/>
      <c r="J140" s="64"/>
      <c r="K140" s="42">
        <f>K139/10000</f>
        <v>1.0000000000000001E-5</v>
      </c>
      <c r="L140" s="42"/>
      <c r="M140" s="48"/>
    </row>
    <row r="141" spans="1:19">
      <c r="A141" s="56" t="s">
        <v>277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8"/>
      <c r="L141" s="8"/>
      <c r="M141" s="26"/>
    </row>
    <row r="142" spans="1:19">
      <c r="A142" s="73" t="s">
        <v>278</v>
      </c>
      <c r="B142" s="52">
        <f>3.14*M139/30</f>
        <v>1.0675999999999999</v>
      </c>
      <c r="C142" s="52"/>
      <c r="D142" s="52"/>
      <c r="E142" s="52"/>
      <c r="F142" s="52"/>
      <c r="G142" s="52"/>
      <c r="H142" s="52"/>
      <c r="I142" s="52"/>
      <c r="J142" s="52"/>
      <c r="K142" s="8"/>
      <c r="L142" s="8"/>
      <c r="M142" s="26"/>
    </row>
    <row r="143" spans="1:19">
      <c r="A143" s="54"/>
      <c r="B143" s="52"/>
      <c r="C143" s="52"/>
      <c r="D143" s="52"/>
      <c r="E143" s="52"/>
      <c r="F143" s="52"/>
      <c r="G143" s="52"/>
      <c r="H143" s="52"/>
      <c r="I143" s="52"/>
      <c r="J143" s="52"/>
      <c r="K143" s="8"/>
      <c r="L143" s="8"/>
      <c r="M143" s="26"/>
    </row>
    <row r="144" spans="1:19">
      <c r="A144" s="54"/>
      <c r="B144" s="52"/>
      <c r="C144" s="52"/>
      <c r="D144" s="52"/>
      <c r="E144" s="52"/>
      <c r="F144" s="52"/>
      <c r="G144" s="52"/>
      <c r="H144" s="52"/>
      <c r="I144" s="52"/>
      <c r="J144" s="52"/>
      <c r="K144" s="8"/>
      <c r="L144" s="8"/>
      <c r="M144" s="26"/>
    </row>
    <row r="145" spans="1:13">
      <c r="A145" s="73" t="s">
        <v>279</v>
      </c>
      <c r="B145" s="52">
        <f>B142*B139/5100</f>
        <v>0.33493333333333331</v>
      </c>
      <c r="C145" s="52"/>
      <c r="D145" s="52"/>
      <c r="E145" s="52"/>
      <c r="F145" s="52"/>
      <c r="G145" s="52"/>
      <c r="H145" s="52"/>
      <c r="I145" s="52"/>
      <c r="J145" s="52"/>
      <c r="K145" s="8"/>
      <c r="L145" s="8"/>
      <c r="M145" s="26"/>
    </row>
    <row r="146" spans="1:13">
      <c r="A146" s="54"/>
      <c r="B146" s="52"/>
      <c r="C146" s="52"/>
      <c r="D146" s="52"/>
      <c r="E146" s="52"/>
      <c r="F146" s="52"/>
      <c r="G146" s="52"/>
      <c r="H146" s="52"/>
      <c r="I146" s="52"/>
      <c r="J146" s="52"/>
      <c r="K146" s="8"/>
      <c r="L146" s="8"/>
      <c r="M146" s="26"/>
    </row>
    <row r="147" spans="1:13">
      <c r="A147" s="54"/>
      <c r="B147" s="52"/>
      <c r="C147" s="52"/>
      <c r="D147" s="52"/>
      <c r="E147" s="52"/>
      <c r="F147" s="52"/>
      <c r="G147" s="52"/>
      <c r="H147" s="52"/>
      <c r="I147" s="52"/>
      <c r="J147" s="52"/>
      <c r="K147" s="8"/>
      <c r="L147" s="8"/>
      <c r="M147" s="26"/>
    </row>
    <row r="148" spans="1:13">
      <c r="A148" s="54" t="s">
        <v>280</v>
      </c>
      <c r="B148" s="52">
        <f>D139*9.81*B139</f>
        <v>13420080.000000002</v>
      </c>
      <c r="C148" s="52" t="s">
        <v>55</v>
      </c>
      <c r="D148" s="52"/>
      <c r="E148" s="52"/>
      <c r="F148" s="52"/>
      <c r="G148" s="52"/>
      <c r="H148" s="52"/>
      <c r="I148" s="52"/>
      <c r="J148" s="52"/>
      <c r="K148" s="8"/>
      <c r="L148" s="8"/>
      <c r="M148" s="26"/>
    </row>
    <row r="149" spans="1:13">
      <c r="A149" s="54"/>
      <c r="B149" s="52"/>
      <c r="C149" s="52"/>
      <c r="D149" s="52"/>
      <c r="E149" s="52"/>
      <c r="F149" s="52"/>
      <c r="G149" s="52"/>
      <c r="H149" s="52"/>
      <c r="I149" s="52"/>
      <c r="J149" s="52"/>
      <c r="K149" s="8"/>
      <c r="L149" s="8"/>
      <c r="M149" s="26"/>
    </row>
    <row r="150" spans="1:13">
      <c r="A150" s="54"/>
      <c r="B150" s="52"/>
      <c r="C150" s="52"/>
      <c r="D150" s="52"/>
      <c r="E150" s="52"/>
      <c r="F150" s="52"/>
      <c r="G150" s="52"/>
      <c r="H150" s="52"/>
      <c r="I150" s="52"/>
      <c r="J150" s="52"/>
      <c r="K150" s="8"/>
      <c r="L150" s="8"/>
      <c r="M150" s="26"/>
    </row>
    <row r="151" spans="1:13">
      <c r="A151" s="54"/>
      <c r="B151" s="52"/>
      <c r="C151" s="52"/>
      <c r="D151" s="52"/>
      <c r="E151" s="52"/>
      <c r="F151" s="52"/>
      <c r="G151" s="52"/>
      <c r="H151" s="52"/>
      <c r="I151" s="52"/>
      <c r="J151" s="52"/>
      <c r="K151" s="8"/>
      <c r="L151" s="8"/>
      <c r="M151" s="26"/>
    </row>
    <row r="152" spans="1:13">
      <c r="A152" s="54" t="s">
        <v>281</v>
      </c>
      <c r="B152" s="52">
        <f>G139*M139*A140^2/(60*(H139^2-F140^2))</f>
        <v>0.14571428571428569</v>
      </c>
      <c r="C152" s="52"/>
      <c r="D152" s="52"/>
      <c r="E152" s="52"/>
      <c r="F152" s="52"/>
      <c r="G152" s="52"/>
      <c r="H152" s="52"/>
      <c r="I152" s="52"/>
      <c r="J152" s="52"/>
      <c r="K152" s="8"/>
      <c r="L152" s="8"/>
      <c r="M152" s="26"/>
    </row>
    <row r="153" spans="1:13">
      <c r="A153" s="54"/>
      <c r="B153" s="52"/>
      <c r="C153" s="52"/>
      <c r="D153" s="52"/>
      <c r="E153" s="52"/>
      <c r="F153" s="52"/>
      <c r="G153" s="52"/>
      <c r="H153" s="52"/>
      <c r="I153" s="52"/>
      <c r="J153" s="52"/>
      <c r="K153" s="8"/>
      <c r="L153" s="8"/>
      <c r="M153" s="26"/>
    </row>
    <row r="154" spans="1:13">
      <c r="A154" s="54"/>
      <c r="B154" s="55"/>
      <c r="C154" s="52"/>
      <c r="D154" s="52"/>
      <c r="E154" s="52"/>
      <c r="F154" s="52"/>
      <c r="G154" s="52"/>
      <c r="H154" s="52"/>
      <c r="I154" s="52"/>
      <c r="J154" s="52"/>
      <c r="K154" s="8"/>
      <c r="L154" s="8"/>
      <c r="M154" s="26"/>
    </row>
    <row r="155" spans="1:13">
      <c r="A155" s="54"/>
      <c r="B155" s="55"/>
      <c r="C155" s="52"/>
      <c r="D155" s="52"/>
      <c r="E155" s="52"/>
      <c r="F155" s="52"/>
      <c r="G155" s="52"/>
      <c r="H155" s="52"/>
      <c r="I155" s="52"/>
      <c r="J155" s="52"/>
      <c r="K155" s="8"/>
      <c r="L155" s="8"/>
      <c r="M155" s="26"/>
    </row>
    <row r="156" spans="1:13">
      <c r="A156" s="54" t="s">
        <v>282</v>
      </c>
      <c r="B156" s="52">
        <f>B152*H139/K140</f>
        <v>1136.5714285714282</v>
      </c>
      <c r="C156" s="57" t="s">
        <v>283</v>
      </c>
      <c r="D156" s="52">
        <v>2300</v>
      </c>
      <c r="E156" s="52"/>
      <c r="F156" s="52"/>
      <c r="G156" s="52"/>
      <c r="H156" s="52"/>
      <c r="I156" s="52"/>
      <c r="J156" s="52"/>
      <c r="K156" s="8"/>
      <c r="L156" s="8"/>
      <c r="M156" s="26"/>
    </row>
    <row r="157" spans="1:13">
      <c r="A157" s="54"/>
      <c r="B157" s="55"/>
      <c r="C157" s="52"/>
      <c r="D157" s="52"/>
      <c r="E157" s="52"/>
      <c r="F157" s="52"/>
      <c r="G157" s="52"/>
      <c r="H157" s="52"/>
      <c r="I157" s="52"/>
      <c r="J157" s="52"/>
      <c r="K157" s="8"/>
      <c r="L157" s="8"/>
      <c r="M157" s="26"/>
    </row>
    <row r="158" spans="1:13">
      <c r="A158" s="54"/>
      <c r="B158" s="55"/>
      <c r="C158" s="52"/>
      <c r="D158" s="52"/>
      <c r="E158" s="52"/>
      <c r="F158" s="52"/>
      <c r="G158" s="52"/>
      <c r="H158" s="52"/>
      <c r="I158" s="52"/>
      <c r="J158" s="52"/>
      <c r="K158" s="8"/>
      <c r="L158" s="8"/>
      <c r="M158" s="26"/>
    </row>
    <row r="159" spans="1:13">
      <c r="A159" s="54"/>
      <c r="B159" s="52"/>
      <c r="C159" s="52"/>
      <c r="D159" s="52"/>
      <c r="E159" s="52"/>
      <c r="F159" s="52"/>
      <c r="G159" s="52"/>
      <c r="H159" s="52"/>
      <c r="I159" s="52"/>
      <c r="J159" s="52"/>
      <c r="K159" s="8"/>
      <c r="L159" s="8"/>
      <c r="M159" s="26"/>
    </row>
    <row r="160" spans="1:13">
      <c r="A160" s="70" t="s">
        <v>284</v>
      </c>
      <c r="B160" s="52">
        <f>64/B156</f>
        <v>5.6309703368526913E-2</v>
      </c>
      <c r="C160" s="52"/>
      <c r="D160" s="52"/>
      <c r="E160" s="52"/>
      <c r="F160" s="52"/>
      <c r="G160" s="52"/>
      <c r="H160" s="52"/>
      <c r="I160" s="52"/>
      <c r="J160" s="52"/>
      <c r="K160" s="8"/>
      <c r="L160" s="8"/>
      <c r="M160" s="26"/>
    </row>
    <row r="161" spans="1:13">
      <c r="A161" s="54"/>
      <c r="B161" s="52"/>
      <c r="C161" s="52"/>
      <c r="D161" s="52"/>
      <c r="E161" s="52"/>
      <c r="F161" s="52"/>
      <c r="G161" s="52"/>
      <c r="H161" s="52"/>
      <c r="I161" s="52"/>
      <c r="J161" s="52"/>
      <c r="K161" s="8"/>
      <c r="L161" s="8"/>
      <c r="M161" s="26"/>
    </row>
    <row r="162" spans="1:13">
      <c r="A162" s="54"/>
      <c r="B162" s="52"/>
      <c r="C162" s="52"/>
      <c r="D162" s="52"/>
      <c r="E162" s="52"/>
      <c r="F162" s="52"/>
      <c r="G162" s="52"/>
      <c r="H162" s="52"/>
      <c r="I162" s="52"/>
      <c r="J162" s="52"/>
      <c r="K162" s="8"/>
      <c r="L162" s="8"/>
      <c r="M162" s="26"/>
    </row>
    <row r="163" spans="1:13">
      <c r="A163" s="54"/>
      <c r="B163" s="52"/>
      <c r="C163" s="52"/>
      <c r="D163" s="52"/>
      <c r="E163" s="52"/>
      <c r="F163" s="52"/>
      <c r="G163" s="52"/>
      <c r="H163" s="52"/>
      <c r="I163" s="52"/>
      <c r="J163" s="52"/>
      <c r="K163" s="8"/>
      <c r="L163" s="8"/>
      <c r="M163" s="26"/>
    </row>
    <row r="164" spans="1:13">
      <c r="A164" s="54" t="s">
        <v>285</v>
      </c>
      <c r="B164" s="52">
        <f>B160*B139*D139*B152^2/(2*H139)</f>
        <v>10484.530853761622</v>
      </c>
      <c r="C164" s="52" t="s">
        <v>55</v>
      </c>
      <c r="D164" s="52"/>
      <c r="E164" s="52"/>
      <c r="F164" s="52"/>
      <c r="G164" s="52"/>
      <c r="H164" s="52"/>
      <c r="I164" s="52"/>
      <c r="J164" s="52"/>
      <c r="K164" s="8"/>
      <c r="L164" s="8"/>
      <c r="M164" s="26"/>
    </row>
    <row r="165" spans="1:13">
      <c r="A165" s="54"/>
      <c r="B165" s="52"/>
      <c r="C165" s="52"/>
      <c r="D165" s="52"/>
      <c r="E165" s="52"/>
      <c r="F165" s="52"/>
      <c r="G165" s="52"/>
      <c r="H165" s="52"/>
      <c r="I165" s="52"/>
      <c r="J165" s="52"/>
      <c r="K165" s="8"/>
      <c r="L165" s="8"/>
      <c r="M165" s="26"/>
    </row>
    <row r="166" spans="1:13">
      <c r="A166" s="54"/>
      <c r="B166" s="52"/>
      <c r="C166" s="52"/>
      <c r="D166" s="52"/>
      <c r="E166" s="52"/>
      <c r="F166" s="52"/>
      <c r="G166" s="52"/>
      <c r="H166" s="52"/>
      <c r="I166" s="52"/>
      <c r="J166" s="52"/>
      <c r="K166" s="8"/>
      <c r="L166" s="8"/>
      <c r="M166" s="26"/>
    </row>
    <row r="167" spans="1:13">
      <c r="A167" s="54" t="s">
        <v>286</v>
      </c>
      <c r="B167" s="52">
        <f>(B139-C139)*D139*9.81</f>
        <v>1677510</v>
      </c>
      <c r="C167" s="52" t="s">
        <v>55</v>
      </c>
      <c r="D167" s="52"/>
      <c r="E167" s="52"/>
      <c r="F167" s="52"/>
      <c r="G167" s="52"/>
      <c r="H167" s="52"/>
      <c r="I167" s="52"/>
      <c r="J167" s="52"/>
      <c r="K167" s="8"/>
      <c r="L167" s="8"/>
      <c r="M167" s="26"/>
    </row>
    <row r="168" spans="1:13">
      <c r="A168" s="54"/>
      <c r="B168" s="52"/>
      <c r="C168" s="52"/>
      <c r="D168" s="52"/>
      <c r="E168" s="52"/>
      <c r="F168" s="52"/>
      <c r="G168" s="52"/>
      <c r="H168" s="52"/>
      <c r="I168" s="52"/>
      <c r="J168" s="52"/>
      <c r="K168" s="8"/>
      <c r="L168" s="8"/>
      <c r="M168" s="26"/>
    </row>
    <row r="169" spans="1:13">
      <c r="A169" s="54"/>
      <c r="B169" s="52"/>
      <c r="C169" s="52"/>
      <c r="D169" s="52"/>
      <c r="E169" s="52"/>
      <c r="F169" s="52"/>
      <c r="G169" s="52"/>
      <c r="H169" s="52"/>
      <c r="I169" s="52"/>
      <c r="J169" s="52"/>
      <c r="K169" s="8"/>
      <c r="L169" s="8"/>
      <c r="M169" s="26"/>
    </row>
    <row r="170" spans="1:13">
      <c r="A170" s="70" t="s">
        <v>287</v>
      </c>
      <c r="B170" s="52">
        <f>0.785*A140^2*(B148+J139+B164-B167)</f>
        <v>16017.836490752328</v>
      </c>
      <c r="C170" s="52" t="s">
        <v>55</v>
      </c>
      <c r="D170" s="52"/>
      <c r="E170" s="52"/>
      <c r="F170" s="52"/>
      <c r="G170" s="52"/>
      <c r="H170" s="52"/>
      <c r="I170" s="52"/>
      <c r="J170" s="52"/>
      <c r="K170" s="8"/>
      <c r="L170" s="8"/>
      <c r="M170" s="26"/>
    </row>
    <row r="171" spans="1:13">
      <c r="A171" s="54"/>
      <c r="B171" s="52"/>
      <c r="C171" s="52"/>
      <c r="D171" s="52"/>
      <c r="E171" s="52"/>
      <c r="F171" s="52"/>
      <c r="G171" s="52"/>
      <c r="H171" s="52"/>
      <c r="I171" s="52"/>
      <c r="J171" s="52"/>
      <c r="K171" s="8"/>
      <c r="L171" s="8"/>
      <c r="M171" s="26"/>
    </row>
    <row r="172" spans="1:13">
      <c r="A172" s="54"/>
      <c r="B172" s="52"/>
      <c r="C172" s="52"/>
      <c r="D172" s="52"/>
      <c r="E172" s="52"/>
      <c r="F172" s="52"/>
      <c r="G172" s="52"/>
      <c r="H172" s="52"/>
      <c r="I172" s="52"/>
      <c r="J172" s="52"/>
      <c r="K172" s="8"/>
      <c r="L172" s="8"/>
      <c r="M172" s="26"/>
    </row>
    <row r="173" spans="1:13">
      <c r="A173" s="54"/>
      <c r="B173" s="52"/>
      <c r="C173" s="52"/>
      <c r="D173" s="52"/>
      <c r="E173" s="52"/>
      <c r="F173" s="52"/>
      <c r="G173" s="52"/>
      <c r="H173" s="52"/>
      <c r="I173" s="52"/>
      <c r="J173" s="52"/>
      <c r="K173" s="8"/>
      <c r="L173" s="8"/>
      <c r="M173" s="26"/>
    </row>
    <row r="174" spans="1:13">
      <c r="A174" s="70" t="s">
        <v>288</v>
      </c>
      <c r="B174" s="52">
        <f>B170*B139/(2.1*(10^11)*0.785*F140^2)</f>
        <v>0.32121034631036643</v>
      </c>
      <c r="C174" s="52" t="s">
        <v>20</v>
      </c>
      <c r="D174" s="52"/>
      <c r="E174" s="52"/>
      <c r="F174" s="52"/>
      <c r="G174" s="52"/>
      <c r="H174" s="52"/>
      <c r="I174" s="52"/>
      <c r="J174" s="52"/>
      <c r="K174" s="8"/>
      <c r="L174" s="8"/>
      <c r="M174" s="26"/>
    </row>
    <row r="175" spans="1:13">
      <c r="A175" s="54"/>
      <c r="B175" s="52"/>
      <c r="C175" s="52"/>
      <c r="D175" s="52"/>
      <c r="E175" s="52"/>
      <c r="F175" s="52"/>
      <c r="G175" s="52"/>
      <c r="H175" s="52"/>
      <c r="I175" s="52"/>
      <c r="J175" s="52"/>
      <c r="K175" s="8"/>
      <c r="L175" s="8"/>
      <c r="M175" s="26"/>
    </row>
    <row r="176" spans="1:13">
      <c r="A176" s="54"/>
      <c r="B176" s="52"/>
      <c r="C176" s="52"/>
      <c r="D176" s="52"/>
      <c r="E176" s="52"/>
      <c r="F176" s="52"/>
      <c r="G176" s="52"/>
      <c r="H176" s="52"/>
      <c r="I176" s="52"/>
      <c r="J176" s="52"/>
      <c r="K176" s="8"/>
      <c r="L176" s="8"/>
      <c r="M176" s="26"/>
    </row>
    <row r="177" spans="1:13">
      <c r="A177" s="54"/>
      <c r="B177" s="52"/>
      <c r="C177" s="52"/>
      <c r="D177" s="52"/>
      <c r="E177" s="52"/>
      <c r="F177" s="52"/>
      <c r="G177" s="52"/>
      <c r="H177" s="52"/>
      <c r="I177" s="52"/>
      <c r="J177" s="52"/>
      <c r="K177" s="8"/>
      <c r="L177" s="8"/>
      <c r="M177" s="26"/>
    </row>
    <row r="178" spans="1:13">
      <c r="A178" s="70" t="s">
        <v>289</v>
      </c>
      <c r="B178" s="52">
        <f>B170*B139/(2.1*10^11*0.785*(E140^2-H139^2))</f>
        <v>8.4630270884168426E-2</v>
      </c>
      <c r="C178" s="52" t="s">
        <v>20</v>
      </c>
      <c r="D178" s="52"/>
      <c r="E178" s="52"/>
      <c r="F178" s="52"/>
      <c r="G178" s="52"/>
      <c r="H178" s="52"/>
      <c r="I178" s="52"/>
      <c r="J178" s="52"/>
      <c r="K178" s="8"/>
      <c r="L178" s="8"/>
      <c r="M178" s="26"/>
    </row>
    <row r="179" spans="1:13">
      <c r="A179" s="54"/>
      <c r="B179" s="52"/>
      <c r="C179" s="52"/>
      <c r="D179" s="52"/>
      <c r="E179" s="52"/>
      <c r="F179" s="52"/>
      <c r="G179" s="52"/>
      <c r="H179" s="52"/>
      <c r="I179" s="52"/>
      <c r="J179" s="52"/>
      <c r="K179" s="8"/>
      <c r="L179" s="8"/>
      <c r="M179" s="26"/>
    </row>
    <row r="180" spans="1:13">
      <c r="A180" s="54"/>
      <c r="B180" s="52"/>
      <c r="C180" s="52"/>
      <c r="D180" s="52"/>
      <c r="E180" s="52"/>
      <c r="F180" s="52"/>
      <c r="G180" s="52"/>
      <c r="H180" s="52"/>
      <c r="I180" s="52"/>
      <c r="J180" s="52"/>
      <c r="K180" s="8"/>
      <c r="L180" s="8"/>
      <c r="M180" s="26"/>
    </row>
    <row r="181" spans="1:13">
      <c r="A181" s="54"/>
      <c r="B181" s="52"/>
      <c r="C181" s="52"/>
      <c r="D181" s="52"/>
      <c r="E181" s="52"/>
      <c r="F181" s="52"/>
      <c r="G181" s="52"/>
      <c r="H181" s="52"/>
      <c r="I181" s="52"/>
      <c r="J181" s="52"/>
      <c r="K181" s="8"/>
      <c r="L181" s="8"/>
      <c r="M181" s="26"/>
    </row>
    <row r="182" spans="1:13">
      <c r="A182" s="70" t="s">
        <v>290</v>
      </c>
      <c r="B182" s="52">
        <f>I139*B139/(2.1*10^11*0.785*F140^2)</f>
        <v>0.15842100381764543</v>
      </c>
      <c r="C182" s="52" t="s">
        <v>20</v>
      </c>
      <c r="D182" s="52"/>
      <c r="E182" s="52"/>
      <c r="F182" s="52"/>
      <c r="G182" s="52"/>
      <c r="H182" s="52"/>
      <c r="I182" s="52"/>
      <c r="J182" s="52"/>
      <c r="K182" s="8"/>
      <c r="L182" s="8"/>
      <c r="M182" s="26"/>
    </row>
    <row r="183" spans="1:13">
      <c r="A183" s="54"/>
      <c r="B183" s="52"/>
      <c r="C183" s="52"/>
      <c r="D183" s="52"/>
      <c r="E183" s="52"/>
      <c r="F183" s="52"/>
      <c r="G183" s="52"/>
      <c r="H183" s="52"/>
      <c r="I183" s="52"/>
      <c r="J183" s="52"/>
      <c r="K183" s="8"/>
      <c r="L183" s="8"/>
      <c r="M183" s="26"/>
    </row>
    <row r="184" spans="1:13">
      <c r="A184" s="54"/>
      <c r="B184" s="52"/>
      <c r="C184" s="52"/>
      <c r="D184" s="52"/>
      <c r="E184" s="52"/>
      <c r="F184" s="52"/>
      <c r="G184" s="52"/>
      <c r="H184" s="52"/>
      <c r="I184" s="52"/>
      <c r="J184" s="52"/>
      <c r="K184" s="8"/>
      <c r="L184" s="8"/>
      <c r="M184" s="26"/>
    </row>
    <row r="185" spans="1:13">
      <c r="A185" s="54"/>
      <c r="B185" s="52"/>
      <c r="C185" s="52"/>
      <c r="D185" s="52"/>
      <c r="E185" s="52"/>
      <c r="F185" s="52"/>
      <c r="G185" s="52"/>
      <c r="H185" s="52"/>
      <c r="I185" s="52"/>
      <c r="J185" s="52"/>
      <c r="K185" s="8"/>
      <c r="L185" s="8"/>
      <c r="M185" s="26"/>
    </row>
    <row r="186" spans="1:13">
      <c r="A186" s="54" t="s">
        <v>291</v>
      </c>
      <c r="B186" s="52">
        <f>(H139-F140)/2</f>
        <v>2.8000000000000001E-2</v>
      </c>
      <c r="C186" s="52" t="s">
        <v>20</v>
      </c>
      <c r="D186" s="52"/>
      <c r="E186" s="52"/>
      <c r="F186" s="52"/>
      <c r="G186" s="52"/>
      <c r="H186" s="52"/>
      <c r="I186" s="52"/>
      <c r="J186" s="52"/>
      <c r="K186" s="8"/>
      <c r="L186" s="8"/>
      <c r="M186" s="26"/>
    </row>
    <row r="187" spans="1:13">
      <c r="A187" s="54"/>
      <c r="B187" s="52"/>
      <c r="C187" s="52"/>
      <c r="D187" s="52"/>
      <c r="E187" s="52"/>
      <c r="F187" s="52"/>
      <c r="G187" s="52"/>
      <c r="H187" s="52"/>
      <c r="I187" s="52"/>
      <c r="J187" s="52"/>
      <c r="K187" s="8"/>
      <c r="L187" s="8"/>
      <c r="M187" s="26"/>
    </row>
    <row r="188" spans="1:13">
      <c r="A188" s="54"/>
      <c r="B188" s="52"/>
      <c r="C188" s="52"/>
      <c r="D188" s="52"/>
      <c r="E188" s="52"/>
      <c r="F188" s="52"/>
      <c r="G188" s="52"/>
      <c r="H188" s="52"/>
      <c r="I188" s="52"/>
      <c r="J188" s="52"/>
      <c r="K188" s="8"/>
      <c r="L188" s="8"/>
      <c r="M188" s="26"/>
    </row>
    <row r="189" spans="1:13">
      <c r="A189" s="54"/>
      <c r="B189" s="52"/>
      <c r="C189" s="52"/>
      <c r="D189" s="52"/>
      <c r="E189" s="52"/>
      <c r="F189" s="52"/>
      <c r="G189" s="52"/>
      <c r="H189" s="52"/>
      <c r="I189" s="52"/>
      <c r="J189" s="52"/>
      <c r="K189" s="8"/>
      <c r="L189" s="8"/>
      <c r="M189" s="26"/>
    </row>
    <row r="190" spans="1:13">
      <c r="A190" s="54"/>
      <c r="B190" s="52"/>
      <c r="C190" s="52"/>
      <c r="D190" s="52"/>
      <c r="E190" s="52"/>
      <c r="F190" s="52"/>
      <c r="G190" s="52"/>
      <c r="H190" s="52"/>
      <c r="I190" s="52"/>
      <c r="J190" s="52"/>
      <c r="K190" s="8"/>
      <c r="L190" s="8"/>
      <c r="M190" s="26"/>
    </row>
    <row r="191" spans="1:13">
      <c r="A191" s="54" t="s">
        <v>292</v>
      </c>
      <c r="B191" s="52">
        <f>I139/(3.14*9.81*(1-D139/7850))</f>
        <v>287.81297839799652</v>
      </c>
      <c r="C191" s="52" t="s">
        <v>20</v>
      </c>
      <c r="D191" s="52"/>
      <c r="E191" s="52"/>
      <c r="F191" s="52"/>
      <c r="G191" s="52"/>
      <c r="H191" s="52"/>
      <c r="I191" s="52"/>
      <c r="J191" s="52"/>
      <c r="K191" s="8"/>
      <c r="L191" s="8"/>
      <c r="M191" s="26"/>
    </row>
    <row r="192" spans="1:13">
      <c r="A192" s="54"/>
      <c r="B192" s="52"/>
      <c r="C192" s="52"/>
      <c r="D192" s="52"/>
      <c r="E192" s="52"/>
      <c r="F192" s="52"/>
      <c r="G192" s="52"/>
      <c r="H192" s="52"/>
      <c r="I192" s="52"/>
      <c r="J192" s="52"/>
      <c r="K192" s="8"/>
      <c r="L192" s="8"/>
      <c r="M192" s="26"/>
    </row>
    <row r="193" spans="1:13">
      <c r="A193" s="54"/>
      <c r="B193" s="52"/>
      <c r="C193" s="52"/>
      <c r="D193" s="52"/>
      <c r="E193" s="52"/>
      <c r="F193" s="52"/>
      <c r="G193" s="52"/>
      <c r="H193" s="52"/>
      <c r="I193" s="52"/>
      <c r="J193" s="52"/>
      <c r="K193" s="8"/>
      <c r="L193" s="8"/>
      <c r="M193" s="26"/>
    </row>
    <row r="194" spans="1:13">
      <c r="A194" s="54" t="s">
        <v>293</v>
      </c>
      <c r="B194" s="52">
        <f>0.785*(F140/2)^4</f>
        <v>1.1493184999999999E-8</v>
      </c>
      <c r="C194" s="52" t="s">
        <v>294</v>
      </c>
      <c r="D194" s="52"/>
      <c r="E194" s="52"/>
      <c r="F194" s="52"/>
      <c r="G194" s="52"/>
      <c r="H194" s="52"/>
      <c r="I194" s="52"/>
      <c r="J194" s="52"/>
      <c r="K194" s="8"/>
      <c r="L194" s="8"/>
      <c r="M194" s="26"/>
    </row>
    <row r="195" spans="1:13">
      <c r="A195" s="54"/>
      <c r="B195" s="52"/>
      <c r="C195" s="52"/>
      <c r="D195" s="52"/>
      <c r="E195" s="52"/>
      <c r="F195" s="52"/>
      <c r="G195" s="52"/>
      <c r="H195" s="52"/>
      <c r="I195" s="52"/>
      <c r="J195" s="52"/>
      <c r="K195" s="8"/>
      <c r="L195" s="8"/>
      <c r="M195" s="26"/>
    </row>
    <row r="196" spans="1:13">
      <c r="A196" s="54"/>
      <c r="B196" s="52"/>
      <c r="C196" s="52"/>
      <c r="D196" s="52"/>
      <c r="E196" s="52"/>
      <c r="F196" s="52"/>
      <c r="G196" s="52"/>
      <c r="H196" s="52"/>
      <c r="I196" s="52"/>
      <c r="J196" s="52"/>
      <c r="K196" s="8"/>
      <c r="L196" s="8"/>
      <c r="M196" s="26"/>
    </row>
    <row r="197" spans="1:13">
      <c r="A197" s="70" t="s">
        <v>295</v>
      </c>
      <c r="B197" s="52">
        <f>I139*B186^2*B191/(8*2.1*10^11*B194)</f>
        <v>9.2321711840011922E-2</v>
      </c>
      <c r="C197" s="52" t="s">
        <v>20</v>
      </c>
      <c r="D197" s="52"/>
      <c r="E197" s="52"/>
      <c r="F197" s="52"/>
      <c r="G197" s="52"/>
      <c r="H197" s="52"/>
      <c r="I197" s="52"/>
      <c r="J197" s="52"/>
      <c r="K197" s="8"/>
      <c r="L197" s="8"/>
      <c r="M197" s="26"/>
    </row>
    <row r="198" spans="1:13">
      <c r="A198" s="54"/>
      <c r="B198" s="52"/>
      <c r="C198" s="52"/>
      <c r="D198" s="52"/>
      <c r="E198" s="52"/>
      <c r="F198" s="52"/>
      <c r="G198" s="52"/>
      <c r="H198" s="52"/>
      <c r="I198" s="52"/>
      <c r="J198" s="52"/>
      <c r="K198" s="8"/>
      <c r="L198" s="8"/>
      <c r="M198" s="26"/>
    </row>
    <row r="199" spans="1:13">
      <c r="A199" s="54"/>
      <c r="B199" s="52"/>
      <c r="C199" s="52"/>
      <c r="D199" s="52"/>
      <c r="E199" s="52"/>
      <c r="F199" s="52"/>
      <c r="G199" s="52"/>
      <c r="H199" s="52"/>
      <c r="I199" s="52"/>
      <c r="J199" s="52"/>
      <c r="K199" s="8"/>
      <c r="L199" s="8"/>
      <c r="M199" s="26"/>
    </row>
    <row r="200" spans="1:13">
      <c r="A200" s="54"/>
      <c r="B200" s="52"/>
      <c r="C200" s="52"/>
      <c r="D200" s="52"/>
      <c r="E200" s="52"/>
      <c r="F200" s="52"/>
      <c r="G200" s="52"/>
      <c r="H200" s="52"/>
      <c r="I200" s="52"/>
      <c r="J200" s="52"/>
      <c r="K200" s="8"/>
      <c r="L200" s="8"/>
      <c r="M200" s="26"/>
    </row>
    <row r="201" spans="1:13">
      <c r="A201" s="54" t="s">
        <v>296</v>
      </c>
      <c r="B201" s="52">
        <f>G139-(B174+B178+B182+B197)</f>
        <v>2.3434166671478076</v>
      </c>
      <c r="C201" s="52" t="s">
        <v>20</v>
      </c>
      <c r="D201" s="52"/>
      <c r="E201" s="52"/>
      <c r="F201" s="52"/>
      <c r="G201" s="52"/>
      <c r="H201" s="52"/>
      <c r="I201" s="52"/>
      <c r="J201" s="52"/>
      <c r="K201" s="8"/>
      <c r="L201" s="8"/>
      <c r="M201" s="26"/>
    </row>
    <row r="202" spans="1:13" ht="16.5" thickBot="1">
      <c r="A202" s="74"/>
      <c r="B202" s="75"/>
      <c r="C202" s="75"/>
      <c r="D202" s="75"/>
      <c r="E202" s="75"/>
      <c r="F202" s="75"/>
      <c r="G202" s="75"/>
      <c r="H202" s="75"/>
      <c r="I202" s="75"/>
      <c r="J202" s="75"/>
      <c r="K202" s="9"/>
      <c r="L202" s="9"/>
      <c r="M202" s="10"/>
    </row>
    <row r="203" spans="1:13">
      <c r="A203" s="137" t="s">
        <v>297</v>
      </c>
      <c r="B203" s="138"/>
      <c r="C203" s="138"/>
      <c r="D203" s="138"/>
      <c r="E203" s="138"/>
      <c r="F203" s="138"/>
      <c r="G203" s="138"/>
      <c r="H203" s="138"/>
      <c r="I203" s="138"/>
      <c r="J203" s="138"/>
      <c r="K203" s="22"/>
      <c r="L203" s="22"/>
      <c r="M203" s="23"/>
    </row>
    <row r="204" spans="1:13">
      <c r="A204" s="139"/>
      <c r="B204" s="140"/>
      <c r="C204" s="140"/>
      <c r="D204" s="140"/>
      <c r="E204" s="140"/>
      <c r="F204" s="140"/>
      <c r="G204" s="140"/>
      <c r="H204" s="140"/>
      <c r="I204" s="140"/>
      <c r="J204" s="140"/>
      <c r="K204" s="8"/>
      <c r="L204" s="8"/>
      <c r="M204" s="26"/>
    </row>
    <row r="205" spans="1:13">
      <c r="A205" s="139"/>
      <c r="B205" s="140"/>
      <c r="C205" s="140"/>
      <c r="D205" s="140"/>
      <c r="E205" s="140"/>
      <c r="F205" s="140"/>
      <c r="G205" s="140"/>
      <c r="H205" s="140"/>
      <c r="I205" s="140"/>
      <c r="J205" s="140"/>
      <c r="K205" s="8"/>
      <c r="L205" s="8"/>
      <c r="M205" s="26"/>
    </row>
    <row r="206" spans="1:13" ht="105">
      <c r="A206" s="53" t="s">
        <v>1</v>
      </c>
      <c r="B206" s="35" t="s">
        <v>2</v>
      </c>
      <c r="C206" s="35" t="s">
        <v>3</v>
      </c>
      <c r="D206" s="35" t="s">
        <v>4</v>
      </c>
      <c r="E206" s="35" t="s">
        <v>9</v>
      </c>
      <c r="F206" s="35" t="s">
        <v>49</v>
      </c>
      <c r="G206" s="35" t="s">
        <v>63</v>
      </c>
      <c r="H206" s="72" t="s">
        <v>271</v>
      </c>
      <c r="I206" s="72" t="s">
        <v>272</v>
      </c>
      <c r="J206" s="72" t="s">
        <v>273</v>
      </c>
      <c r="K206" s="46" t="s">
        <v>274</v>
      </c>
      <c r="L206" s="46" t="s">
        <v>275</v>
      </c>
      <c r="M206" s="47" t="s">
        <v>276</v>
      </c>
    </row>
    <row r="207" spans="1:13">
      <c r="A207" s="63">
        <v>40</v>
      </c>
      <c r="B207" s="64">
        <v>1300</v>
      </c>
      <c r="C207" s="64">
        <v>1100</v>
      </c>
      <c r="D207" s="64">
        <v>855</v>
      </c>
      <c r="E207" s="64">
        <v>89</v>
      </c>
      <c r="F207" s="64">
        <v>22</v>
      </c>
      <c r="G207" s="64">
        <v>3</v>
      </c>
      <c r="H207" s="64">
        <f>E208-2*0.0055</f>
        <v>7.8E-2</v>
      </c>
      <c r="I207" s="64">
        <v>4500</v>
      </c>
      <c r="J207" s="64">
        <v>1000000</v>
      </c>
      <c r="K207" s="42">
        <v>0.1</v>
      </c>
      <c r="L207" s="42">
        <v>75</v>
      </c>
      <c r="M207" s="48">
        <v>10.199999999999999</v>
      </c>
    </row>
    <row r="208" spans="1:13">
      <c r="A208" s="63">
        <f>A207/1000</f>
        <v>0.04</v>
      </c>
      <c r="B208" s="29"/>
      <c r="C208" s="29"/>
      <c r="D208" s="29"/>
      <c r="E208" s="64">
        <f>E207/1000</f>
        <v>8.8999999999999996E-2</v>
      </c>
      <c r="F208" s="64">
        <f>F207/1000</f>
        <v>2.1999999999999999E-2</v>
      </c>
      <c r="G208" s="29"/>
      <c r="H208" s="64"/>
      <c r="I208" s="64"/>
      <c r="J208" s="64"/>
      <c r="K208" s="42">
        <f>K207/10000</f>
        <v>1.0000000000000001E-5</v>
      </c>
      <c r="L208" s="42"/>
      <c r="M208" s="48"/>
    </row>
    <row r="209" spans="1:13">
      <c r="A209" s="54"/>
      <c r="B209" s="76"/>
      <c r="C209" s="52"/>
      <c r="D209" s="52"/>
      <c r="E209" s="52"/>
      <c r="F209" s="52"/>
      <c r="G209" s="52"/>
      <c r="H209" s="52"/>
      <c r="I209" s="52"/>
      <c r="J209" s="52"/>
      <c r="K209" s="8"/>
      <c r="L209" s="8"/>
      <c r="M209" s="26"/>
    </row>
    <row r="210" spans="1:13">
      <c r="A210" s="54"/>
      <c r="B210" s="66"/>
      <c r="C210" s="52"/>
      <c r="D210" s="52"/>
      <c r="E210" s="52"/>
      <c r="F210" s="52"/>
      <c r="G210" s="52"/>
      <c r="H210" s="52"/>
      <c r="I210" s="52"/>
      <c r="J210" s="52"/>
      <c r="K210" s="8"/>
      <c r="L210" s="8"/>
      <c r="M210" s="26"/>
    </row>
    <row r="211" spans="1:13">
      <c r="A211" s="54"/>
      <c r="B211" s="66"/>
      <c r="C211" s="52"/>
      <c r="D211" s="52"/>
      <c r="E211" s="52"/>
      <c r="F211" s="52"/>
      <c r="G211" s="52"/>
      <c r="H211" s="52"/>
      <c r="I211" s="52"/>
      <c r="J211" s="52"/>
      <c r="K211" s="8"/>
      <c r="L211" s="8"/>
      <c r="M211" s="26"/>
    </row>
    <row r="212" spans="1:13">
      <c r="A212" s="73" t="s">
        <v>278</v>
      </c>
      <c r="B212" s="52">
        <f>3.14*M207/30</f>
        <v>1.0675999999999999</v>
      </c>
      <c r="C212" s="52"/>
      <c r="D212" s="52"/>
      <c r="E212" s="52"/>
      <c r="F212" s="52"/>
      <c r="G212" s="52"/>
      <c r="H212" s="52"/>
      <c r="I212" s="52"/>
      <c r="J212" s="52"/>
      <c r="K212" s="8"/>
      <c r="L212" s="8"/>
      <c r="M212" s="26"/>
    </row>
    <row r="213" spans="1:13">
      <c r="A213" s="54"/>
      <c r="B213" s="66"/>
      <c r="C213" s="52"/>
      <c r="D213" s="52"/>
      <c r="E213" s="52"/>
      <c r="F213" s="52"/>
      <c r="G213" s="52"/>
      <c r="H213" s="52"/>
      <c r="I213" s="52"/>
      <c r="J213" s="52"/>
      <c r="K213" s="8"/>
      <c r="L213" s="8"/>
      <c r="M213" s="26"/>
    </row>
    <row r="214" spans="1:13">
      <c r="A214" s="54"/>
      <c r="B214" s="52"/>
      <c r="C214" s="52"/>
      <c r="D214" s="52"/>
      <c r="E214" s="52"/>
      <c r="F214" s="52"/>
      <c r="G214" s="52"/>
      <c r="H214" s="52"/>
      <c r="I214" s="52"/>
      <c r="J214" s="52"/>
      <c r="K214" s="8"/>
      <c r="L214" s="8"/>
      <c r="M214" s="26"/>
    </row>
    <row r="215" spans="1:13">
      <c r="A215" s="54"/>
      <c r="B215" s="52"/>
      <c r="C215" s="52"/>
      <c r="D215" s="52"/>
      <c r="E215" s="52"/>
      <c r="F215" s="52"/>
      <c r="G215" s="52"/>
      <c r="H215" s="52"/>
      <c r="I215" s="52"/>
      <c r="J215" s="52"/>
      <c r="K215" s="8"/>
      <c r="L215" s="8"/>
      <c r="M215" s="26"/>
    </row>
    <row r="216" spans="1:13">
      <c r="A216" s="73" t="s">
        <v>279</v>
      </c>
      <c r="B216" s="52">
        <f>B212*B207/5100</f>
        <v>0.27213333333333328</v>
      </c>
      <c r="C216" s="52" t="s">
        <v>298</v>
      </c>
      <c r="D216" s="52">
        <f>B216*180/3.14</f>
        <v>15.599999999999996</v>
      </c>
      <c r="E216" s="52" t="s">
        <v>33</v>
      </c>
      <c r="F216" s="52" t="s">
        <v>299</v>
      </c>
      <c r="G216" s="52">
        <f>COS(B216)</f>
        <v>0.96319967661918604</v>
      </c>
      <c r="H216" s="52"/>
      <c r="I216" s="52"/>
      <c r="J216" s="52"/>
      <c r="K216" s="8"/>
      <c r="L216" s="8"/>
      <c r="M216" s="26"/>
    </row>
    <row r="217" spans="1:13">
      <c r="A217" s="54"/>
      <c r="B217" s="52"/>
      <c r="C217" s="52"/>
      <c r="D217" s="52"/>
      <c r="E217" s="52"/>
      <c r="F217" s="52"/>
      <c r="G217" s="52"/>
      <c r="H217" s="52"/>
      <c r="I217" s="52"/>
      <c r="J217" s="52"/>
      <c r="K217" s="8"/>
      <c r="L217" s="8"/>
      <c r="M217" s="26"/>
    </row>
    <row r="218" spans="1:13">
      <c r="A218" s="54"/>
      <c r="B218" s="52"/>
      <c r="C218" s="52"/>
      <c r="D218" s="52"/>
      <c r="E218" s="52"/>
      <c r="F218" s="52"/>
      <c r="G218" s="52"/>
      <c r="H218" s="52"/>
      <c r="I218" s="52"/>
      <c r="J218" s="52"/>
      <c r="K218" s="8"/>
      <c r="L218" s="8"/>
      <c r="M218" s="26"/>
    </row>
    <row r="219" spans="1:13">
      <c r="A219" s="54"/>
      <c r="B219" s="52"/>
      <c r="C219" s="52"/>
      <c r="D219" s="52"/>
      <c r="E219" s="52"/>
      <c r="F219" s="52"/>
      <c r="G219" s="52"/>
      <c r="H219" s="52"/>
      <c r="I219" s="52"/>
      <c r="J219" s="52"/>
      <c r="K219" s="8"/>
      <c r="L219" s="8"/>
      <c r="M219" s="26"/>
    </row>
    <row r="220" spans="1:13">
      <c r="A220" s="54" t="s">
        <v>281</v>
      </c>
      <c r="B220" s="52">
        <f>G207*M207*A208^2/(60*(H207^2-F208^2))</f>
        <v>0.14571428571428569</v>
      </c>
      <c r="C220" s="52"/>
      <c r="D220" s="52"/>
      <c r="E220" s="52"/>
      <c r="F220" s="52"/>
      <c r="G220" s="52"/>
      <c r="H220" s="52"/>
      <c r="I220" s="52"/>
      <c r="J220" s="52"/>
      <c r="K220" s="8"/>
      <c r="L220" s="8"/>
      <c r="M220" s="26"/>
    </row>
    <row r="221" spans="1:13">
      <c r="A221" s="54"/>
      <c r="B221" s="52"/>
      <c r="C221" s="52"/>
      <c r="D221" s="52"/>
      <c r="E221" s="52"/>
      <c r="F221" s="52"/>
      <c r="G221" s="52"/>
      <c r="H221" s="52"/>
      <c r="I221" s="52"/>
      <c r="J221" s="52"/>
      <c r="K221" s="8"/>
      <c r="L221" s="8"/>
      <c r="M221" s="26"/>
    </row>
    <row r="222" spans="1:13">
      <c r="A222" s="54"/>
      <c r="B222" s="52"/>
      <c r="C222" s="52"/>
      <c r="D222" s="52"/>
      <c r="E222" s="52"/>
      <c r="F222" s="52"/>
      <c r="G222" s="52"/>
      <c r="H222" s="52"/>
      <c r="I222" s="52"/>
      <c r="J222" s="52"/>
      <c r="K222" s="8"/>
      <c r="L222" s="8"/>
      <c r="M222" s="26"/>
    </row>
    <row r="223" spans="1:13">
      <c r="A223" s="54"/>
      <c r="B223" s="55"/>
      <c r="C223" s="52"/>
      <c r="D223" s="52"/>
      <c r="E223" s="52"/>
      <c r="F223" s="52"/>
      <c r="G223" s="52"/>
      <c r="H223" s="52"/>
      <c r="I223" s="52"/>
      <c r="J223" s="52"/>
      <c r="K223" s="8"/>
      <c r="L223" s="8"/>
      <c r="M223" s="26"/>
    </row>
    <row r="224" spans="1:13">
      <c r="A224" s="54" t="s">
        <v>282</v>
      </c>
      <c r="B224" s="52">
        <f>B220*H207/K208</f>
        <v>1136.5714285714282</v>
      </c>
      <c r="C224" s="57" t="s">
        <v>283</v>
      </c>
      <c r="D224" s="52">
        <v>2300</v>
      </c>
      <c r="E224" s="52"/>
      <c r="F224" s="52"/>
      <c r="G224" s="52"/>
      <c r="H224" s="52"/>
      <c r="I224" s="52"/>
      <c r="J224" s="52"/>
      <c r="K224" s="8"/>
      <c r="L224" s="8"/>
      <c r="M224" s="26"/>
    </row>
    <row r="225" spans="1:13">
      <c r="A225" s="54"/>
      <c r="B225" s="55"/>
      <c r="C225" s="52"/>
      <c r="D225" s="52"/>
      <c r="E225" s="52"/>
      <c r="F225" s="52"/>
      <c r="G225" s="52"/>
      <c r="H225" s="52"/>
      <c r="I225" s="52"/>
      <c r="J225" s="52"/>
      <c r="K225" s="8"/>
      <c r="L225" s="8"/>
      <c r="M225" s="26"/>
    </row>
    <row r="226" spans="1:13">
      <c r="A226" s="54"/>
      <c r="B226" s="55"/>
      <c r="C226" s="52"/>
      <c r="D226" s="52"/>
      <c r="E226" s="52"/>
      <c r="F226" s="52"/>
      <c r="G226" s="52"/>
      <c r="H226" s="52"/>
      <c r="I226" s="52"/>
      <c r="J226" s="52"/>
      <c r="K226" s="8"/>
      <c r="L226" s="8"/>
      <c r="M226" s="26"/>
    </row>
    <row r="227" spans="1:13">
      <c r="A227" s="54"/>
      <c r="B227" s="55"/>
      <c r="C227" s="52"/>
      <c r="D227" s="52"/>
      <c r="E227" s="52"/>
      <c r="F227" s="52"/>
      <c r="G227" s="52"/>
      <c r="H227" s="52"/>
      <c r="I227" s="52"/>
      <c r="J227" s="52"/>
      <c r="K227" s="8"/>
      <c r="L227" s="8"/>
      <c r="M227" s="26"/>
    </row>
    <row r="228" spans="1:13">
      <c r="A228" s="70" t="s">
        <v>284</v>
      </c>
      <c r="B228" s="52">
        <f>64/B224</f>
        <v>5.6309703368526913E-2</v>
      </c>
      <c r="C228" s="52"/>
      <c r="D228" s="52"/>
      <c r="E228" s="52"/>
      <c r="F228" s="52"/>
      <c r="G228" s="52"/>
      <c r="H228" s="52"/>
      <c r="I228" s="52"/>
      <c r="J228" s="52"/>
      <c r="K228" s="8"/>
      <c r="L228" s="8"/>
      <c r="M228" s="26"/>
    </row>
    <row r="229" spans="1:13">
      <c r="A229" s="54"/>
      <c r="B229" s="52"/>
      <c r="C229" s="52"/>
      <c r="D229" s="52"/>
      <c r="E229" s="52"/>
      <c r="F229" s="52"/>
      <c r="G229" s="52"/>
      <c r="H229" s="52"/>
      <c r="I229" s="52"/>
      <c r="J229" s="52"/>
      <c r="K229" s="8"/>
      <c r="L229" s="8"/>
      <c r="M229" s="26"/>
    </row>
    <row r="230" spans="1:13">
      <c r="A230" s="54"/>
      <c r="B230" s="52"/>
      <c r="C230" s="52"/>
      <c r="D230" s="52"/>
      <c r="E230" s="52"/>
      <c r="F230" s="52"/>
      <c r="G230" s="52"/>
      <c r="H230" s="52"/>
      <c r="I230" s="52"/>
      <c r="J230" s="52"/>
      <c r="K230" s="8"/>
      <c r="L230" s="8"/>
      <c r="M230" s="26"/>
    </row>
    <row r="231" spans="1:13">
      <c r="A231" s="54"/>
      <c r="B231" s="52"/>
      <c r="C231" s="52"/>
      <c r="D231" s="52"/>
      <c r="E231" s="52"/>
      <c r="F231" s="52"/>
      <c r="G231" s="52"/>
      <c r="H231" s="52"/>
      <c r="I231" s="52"/>
      <c r="J231" s="52"/>
      <c r="K231" s="8"/>
      <c r="L231" s="8"/>
      <c r="M231" s="26"/>
    </row>
    <row r="232" spans="1:13">
      <c r="A232" s="54" t="s">
        <v>285</v>
      </c>
      <c r="B232" s="52">
        <f>B228*B207*D207*B220^2/(2*H207)</f>
        <v>8518.6813186813179</v>
      </c>
      <c r="C232" s="52"/>
      <c r="D232" s="52"/>
      <c r="E232" s="52"/>
      <c r="F232" s="52"/>
      <c r="G232" s="52"/>
      <c r="H232" s="52"/>
      <c r="I232" s="52"/>
      <c r="J232" s="52"/>
      <c r="K232" s="8"/>
      <c r="L232" s="8"/>
      <c r="M232" s="26"/>
    </row>
    <row r="233" spans="1:13">
      <c r="A233" s="54"/>
      <c r="B233" s="52"/>
      <c r="C233" s="52"/>
      <c r="D233" s="52"/>
      <c r="E233" s="52"/>
      <c r="F233" s="52"/>
      <c r="G233" s="52"/>
      <c r="H233" s="52"/>
      <c r="I233" s="52"/>
      <c r="J233" s="52"/>
      <c r="K233" s="8"/>
      <c r="L233" s="8"/>
      <c r="M233" s="26"/>
    </row>
    <row r="234" spans="1:13">
      <c r="A234" s="54"/>
      <c r="B234" s="52"/>
      <c r="C234" s="52"/>
      <c r="D234" s="52"/>
      <c r="E234" s="52"/>
      <c r="F234" s="52"/>
      <c r="G234" s="52"/>
      <c r="H234" s="52"/>
      <c r="I234" s="52"/>
      <c r="J234" s="52"/>
      <c r="K234" s="8"/>
      <c r="L234" s="8"/>
      <c r="M234" s="26"/>
    </row>
    <row r="235" spans="1:13">
      <c r="A235" s="54"/>
      <c r="B235" s="52"/>
      <c r="C235" s="52"/>
      <c r="D235" s="52"/>
      <c r="E235" s="52"/>
      <c r="F235" s="52"/>
      <c r="G235" s="52"/>
      <c r="H235" s="52"/>
      <c r="I235" s="52"/>
      <c r="J235" s="52"/>
      <c r="K235" s="8"/>
      <c r="L235" s="8"/>
      <c r="M235" s="26"/>
    </row>
    <row r="236" spans="1:13">
      <c r="A236" s="54" t="s">
        <v>300</v>
      </c>
      <c r="B236" s="52">
        <f>(B207-C207)*D207*9.81</f>
        <v>1677510</v>
      </c>
      <c r="C236" s="52"/>
      <c r="D236" s="52"/>
      <c r="E236" s="52"/>
      <c r="F236" s="52"/>
      <c r="G236" s="52"/>
      <c r="H236" s="52"/>
      <c r="I236" s="52"/>
      <c r="J236" s="52"/>
      <c r="K236" s="8"/>
      <c r="L236" s="8"/>
      <c r="M236" s="26"/>
    </row>
    <row r="237" spans="1:13">
      <c r="A237" s="54"/>
      <c r="B237" s="52"/>
      <c r="C237" s="52"/>
      <c r="D237" s="52"/>
      <c r="E237" s="52"/>
      <c r="F237" s="52"/>
      <c r="G237" s="52"/>
      <c r="H237" s="52"/>
      <c r="I237" s="52"/>
      <c r="J237" s="52"/>
      <c r="K237" s="8"/>
      <c r="L237" s="8"/>
      <c r="M237" s="26"/>
    </row>
    <row r="238" spans="1:13">
      <c r="A238" s="54"/>
      <c r="B238" s="52"/>
      <c r="C238" s="52"/>
      <c r="D238" s="52"/>
      <c r="E238" s="52"/>
      <c r="F238" s="52"/>
      <c r="G238" s="52"/>
      <c r="H238" s="52"/>
      <c r="I238" s="52"/>
      <c r="J238" s="52"/>
      <c r="K238" s="8"/>
      <c r="L238" s="8"/>
      <c r="M238" s="26"/>
    </row>
    <row r="239" spans="1:13">
      <c r="A239" s="54" t="s">
        <v>301</v>
      </c>
      <c r="B239" s="52">
        <f>D207*9.81*B207</f>
        <v>10903815.000000002</v>
      </c>
      <c r="C239" s="52"/>
      <c r="D239" s="52"/>
      <c r="E239" s="52"/>
      <c r="F239" s="52"/>
      <c r="G239" s="52"/>
      <c r="H239" s="52"/>
      <c r="I239" s="52"/>
      <c r="J239" s="52"/>
      <c r="K239" s="8"/>
      <c r="L239" s="8"/>
      <c r="M239" s="26"/>
    </row>
    <row r="240" spans="1:13">
      <c r="A240" s="54"/>
      <c r="B240" s="52"/>
      <c r="C240" s="52"/>
      <c r="D240" s="52"/>
      <c r="E240" s="52"/>
      <c r="F240" s="52"/>
      <c r="G240" s="52"/>
      <c r="H240" s="52"/>
      <c r="I240" s="52"/>
      <c r="J240" s="52"/>
      <c r="K240" s="8"/>
      <c r="L240" s="8"/>
      <c r="M240" s="26"/>
    </row>
    <row r="241" spans="1:13">
      <c r="A241" s="54"/>
      <c r="B241" s="52"/>
      <c r="C241" s="52"/>
      <c r="D241" s="52"/>
      <c r="E241" s="52"/>
      <c r="F241" s="52"/>
      <c r="G241" s="52"/>
      <c r="H241" s="52"/>
      <c r="I241" s="52"/>
      <c r="J241" s="52"/>
      <c r="K241" s="8"/>
      <c r="L241" s="8"/>
      <c r="M241" s="26"/>
    </row>
    <row r="242" spans="1:13">
      <c r="A242" s="70" t="s">
        <v>287</v>
      </c>
      <c r="B242" s="52">
        <f>0.785*A208^2*(B239+J207+B232-B236)</f>
        <v>12854.938543736269</v>
      </c>
      <c r="C242" s="52"/>
      <c r="D242" s="52"/>
      <c r="E242" s="52"/>
      <c r="F242" s="52"/>
      <c r="G242" s="52"/>
      <c r="H242" s="52"/>
      <c r="I242" s="52"/>
      <c r="J242" s="52"/>
      <c r="K242" s="8"/>
      <c r="L242" s="8"/>
      <c r="M242" s="26"/>
    </row>
    <row r="243" spans="1:13">
      <c r="A243" s="54"/>
      <c r="B243" s="52"/>
      <c r="C243" s="52"/>
      <c r="D243" s="52"/>
      <c r="E243" s="52"/>
      <c r="F243" s="52"/>
      <c r="G243" s="52"/>
      <c r="H243" s="52"/>
      <c r="I243" s="52"/>
      <c r="J243" s="52"/>
      <c r="K243" s="8"/>
      <c r="L243" s="8"/>
      <c r="M243" s="26"/>
    </row>
    <row r="244" spans="1:13">
      <c r="A244" s="54"/>
      <c r="B244" s="52"/>
      <c r="C244" s="52"/>
      <c r="D244" s="52"/>
      <c r="E244" s="52"/>
      <c r="F244" s="52"/>
      <c r="G244" s="52"/>
      <c r="H244" s="52"/>
      <c r="I244" s="52"/>
      <c r="J244" s="52"/>
      <c r="K244" s="8"/>
      <c r="L244" s="8"/>
      <c r="M244" s="26"/>
    </row>
    <row r="245" spans="1:13">
      <c r="A245" s="54"/>
      <c r="B245" s="52"/>
      <c r="C245" s="52"/>
      <c r="D245" s="52"/>
      <c r="E245" s="52"/>
      <c r="F245" s="52"/>
      <c r="G245" s="52"/>
      <c r="H245" s="52"/>
      <c r="I245" s="52"/>
      <c r="J245" s="52"/>
      <c r="K245" s="8"/>
      <c r="L245" s="8"/>
      <c r="M245" s="26"/>
    </row>
    <row r="246" spans="1:13">
      <c r="A246" s="70" t="s">
        <v>288</v>
      </c>
      <c r="B246" s="52">
        <f>B242*B207/(2.1*10^11*0.785*F208^2)</f>
        <v>0.20944936301793457</v>
      </c>
      <c r="C246" s="52"/>
      <c r="D246" s="52"/>
      <c r="E246" s="52"/>
      <c r="F246" s="52"/>
      <c r="G246" s="52"/>
      <c r="H246" s="52"/>
      <c r="I246" s="52"/>
      <c r="J246" s="52"/>
      <c r="K246" s="8"/>
      <c r="L246" s="8"/>
      <c r="M246" s="26"/>
    </row>
    <row r="247" spans="1:13">
      <c r="A247" s="54"/>
      <c r="B247" s="52"/>
      <c r="C247" s="52"/>
      <c r="D247" s="52"/>
      <c r="E247" s="52"/>
      <c r="F247" s="52"/>
      <c r="G247" s="52"/>
      <c r="H247" s="52"/>
      <c r="I247" s="52"/>
      <c r="J247" s="52"/>
      <c r="K247" s="8"/>
      <c r="L247" s="8"/>
      <c r="M247" s="26"/>
    </row>
    <row r="248" spans="1:13">
      <c r="A248" s="54"/>
      <c r="B248" s="52"/>
      <c r="C248" s="52"/>
      <c r="D248" s="52"/>
      <c r="E248" s="52"/>
      <c r="F248" s="52"/>
      <c r="G248" s="52"/>
      <c r="H248" s="52"/>
      <c r="I248" s="52"/>
      <c r="J248" s="52"/>
      <c r="K248" s="8"/>
      <c r="L248" s="8"/>
      <c r="M248" s="26"/>
    </row>
    <row r="249" spans="1:13">
      <c r="A249" s="54"/>
      <c r="B249" s="52"/>
      <c r="C249" s="52"/>
      <c r="D249" s="52"/>
      <c r="E249" s="52"/>
      <c r="F249" s="52"/>
      <c r="G249" s="52"/>
      <c r="H249" s="52"/>
      <c r="I249" s="52"/>
      <c r="J249" s="52"/>
      <c r="K249" s="8"/>
      <c r="L249" s="8"/>
      <c r="M249" s="26"/>
    </row>
    <row r="250" spans="1:13">
      <c r="A250" s="70" t="s">
        <v>289</v>
      </c>
      <c r="B250" s="52">
        <f>B242*B207/(2.1*10^11*0.785*(E208^2-H207^2))</f>
        <v>5.5184263310114508E-2</v>
      </c>
      <c r="C250" s="52"/>
      <c r="D250" s="52"/>
      <c r="E250" s="52"/>
      <c r="F250" s="52"/>
      <c r="G250" s="52"/>
      <c r="H250" s="52"/>
      <c r="I250" s="52"/>
      <c r="J250" s="52"/>
      <c r="K250" s="8"/>
      <c r="L250" s="8"/>
      <c r="M250" s="26"/>
    </row>
    <row r="251" spans="1:13">
      <c r="A251" s="54"/>
      <c r="B251" s="52"/>
      <c r="C251" s="52"/>
      <c r="D251" s="52"/>
      <c r="E251" s="52"/>
      <c r="F251" s="52"/>
      <c r="G251" s="52"/>
      <c r="H251" s="52"/>
      <c r="I251" s="52"/>
      <c r="J251" s="52"/>
      <c r="K251" s="8"/>
      <c r="L251" s="8"/>
      <c r="M251" s="26"/>
    </row>
    <row r="252" spans="1:13">
      <c r="A252" s="54"/>
      <c r="B252" s="52"/>
      <c r="C252" s="52"/>
      <c r="D252" s="52"/>
      <c r="E252" s="52"/>
      <c r="F252" s="52"/>
      <c r="G252" s="52"/>
      <c r="H252" s="52"/>
      <c r="I252" s="52"/>
      <c r="J252" s="52"/>
      <c r="K252" s="8"/>
      <c r="L252" s="8"/>
      <c r="M252" s="26"/>
    </row>
    <row r="253" spans="1:13">
      <c r="A253" s="54"/>
      <c r="B253" s="52"/>
      <c r="C253" s="52"/>
      <c r="D253" s="52"/>
      <c r="E253" s="52"/>
      <c r="F253" s="52"/>
      <c r="G253" s="52"/>
      <c r="H253" s="52"/>
      <c r="I253" s="52"/>
      <c r="J253" s="52"/>
      <c r="K253" s="8"/>
      <c r="L253" s="8"/>
      <c r="M253" s="26"/>
    </row>
    <row r="254" spans="1:13">
      <c r="A254" s="70" t="s">
        <v>290</v>
      </c>
      <c r="B254" s="52">
        <f>I207*B207/(2.1*10^11*0.785*F208^2)</f>
        <v>7.3319847494717219E-2</v>
      </c>
      <c r="C254" s="52"/>
      <c r="D254" s="52"/>
      <c r="E254" s="52"/>
      <c r="F254" s="52"/>
      <c r="G254" s="52"/>
      <c r="H254" s="52"/>
      <c r="I254" s="52"/>
      <c r="J254" s="52"/>
      <c r="K254" s="8"/>
      <c r="L254" s="8"/>
      <c r="M254" s="26"/>
    </row>
    <row r="255" spans="1:13">
      <c r="A255" s="54"/>
      <c r="B255" s="52"/>
      <c r="C255" s="52"/>
      <c r="D255" s="52"/>
      <c r="E255" s="52"/>
      <c r="F255" s="52"/>
      <c r="G255" s="52"/>
      <c r="H255" s="52"/>
      <c r="I255" s="52"/>
      <c r="J255" s="52"/>
      <c r="K255" s="8"/>
      <c r="L255" s="8"/>
      <c r="M255" s="26"/>
    </row>
    <row r="256" spans="1:13">
      <c r="A256" s="54"/>
      <c r="B256" s="52"/>
      <c r="C256" s="52"/>
      <c r="D256" s="52"/>
      <c r="E256" s="52"/>
      <c r="F256" s="52"/>
      <c r="G256" s="52"/>
      <c r="H256" s="52"/>
      <c r="I256" s="52"/>
      <c r="J256" s="52"/>
      <c r="K256" s="8"/>
      <c r="L256" s="8"/>
      <c r="M256" s="26"/>
    </row>
    <row r="257" spans="1:13">
      <c r="A257" s="54"/>
      <c r="B257" s="52"/>
      <c r="C257" s="52"/>
      <c r="D257" s="52"/>
      <c r="E257" s="52"/>
      <c r="F257" s="52"/>
      <c r="G257" s="52"/>
      <c r="H257" s="52"/>
      <c r="I257" s="52"/>
      <c r="J257" s="52"/>
      <c r="K257" s="8"/>
      <c r="L257" s="8"/>
      <c r="M257" s="26"/>
    </row>
    <row r="258" spans="1:13">
      <c r="A258" s="54"/>
      <c r="B258" s="52"/>
      <c r="C258" s="52"/>
      <c r="D258" s="52"/>
      <c r="E258" s="52"/>
      <c r="F258" s="52"/>
      <c r="G258" s="52"/>
      <c r="H258" s="52"/>
      <c r="I258" s="52"/>
      <c r="J258" s="52"/>
      <c r="K258" s="8"/>
      <c r="L258" s="8"/>
      <c r="M258" s="26"/>
    </row>
    <row r="259" spans="1:13">
      <c r="A259" s="54"/>
      <c r="B259" s="52"/>
      <c r="C259" s="52"/>
      <c r="D259" s="52"/>
      <c r="E259" s="52"/>
      <c r="F259" s="52"/>
      <c r="G259" s="52"/>
      <c r="H259" s="52"/>
      <c r="I259" s="52"/>
      <c r="J259" s="52"/>
      <c r="K259" s="8"/>
      <c r="L259" s="8"/>
      <c r="M259" s="26"/>
    </row>
    <row r="260" spans="1:13">
      <c r="A260" s="54" t="s">
        <v>302</v>
      </c>
      <c r="B260" s="52">
        <f>I207/(3.14*9.81*(1-(D207/7850)))</f>
        <v>163.94410161911193</v>
      </c>
      <c r="C260" s="52"/>
      <c r="D260" s="52"/>
      <c r="E260" s="52"/>
      <c r="F260" s="52"/>
      <c r="G260" s="52"/>
      <c r="H260" s="52"/>
      <c r="I260" s="52"/>
      <c r="J260" s="52"/>
      <c r="K260" s="8"/>
      <c r="L260" s="8"/>
      <c r="M260" s="26"/>
    </row>
    <row r="261" spans="1:13">
      <c r="A261" s="54"/>
      <c r="B261" s="52"/>
      <c r="C261" s="52"/>
      <c r="D261" s="52"/>
      <c r="E261" s="52"/>
      <c r="F261" s="52"/>
      <c r="G261" s="52"/>
      <c r="H261" s="52"/>
      <c r="I261" s="52"/>
      <c r="J261" s="52"/>
      <c r="K261" s="8"/>
      <c r="L261" s="8"/>
      <c r="M261" s="26"/>
    </row>
    <row r="262" spans="1:13">
      <c r="A262" s="54"/>
      <c r="B262" s="52"/>
      <c r="C262" s="52"/>
      <c r="D262" s="52"/>
      <c r="E262" s="52"/>
      <c r="F262" s="52"/>
      <c r="G262" s="52"/>
      <c r="H262" s="52"/>
      <c r="I262" s="52"/>
      <c r="J262" s="52"/>
      <c r="K262" s="8"/>
      <c r="L262" s="8"/>
      <c r="M262" s="26"/>
    </row>
    <row r="263" spans="1:13">
      <c r="A263" s="54"/>
      <c r="B263" s="52"/>
      <c r="C263" s="52"/>
      <c r="D263" s="52"/>
      <c r="E263" s="52"/>
      <c r="F263" s="52"/>
      <c r="G263" s="52"/>
      <c r="H263" s="52"/>
      <c r="I263" s="52"/>
      <c r="J263" s="52"/>
      <c r="K263" s="8"/>
      <c r="L263" s="8"/>
      <c r="M263" s="26"/>
    </row>
    <row r="264" spans="1:13">
      <c r="A264" s="54" t="s">
        <v>303</v>
      </c>
      <c r="B264" s="52">
        <f>(H207-F208)/2</f>
        <v>2.8000000000000001E-2</v>
      </c>
      <c r="C264" s="52"/>
      <c r="D264" s="52"/>
      <c r="E264" s="52"/>
      <c r="F264" s="52"/>
      <c r="G264" s="52"/>
      <c r="H264" s="52"/>
      <c r="I264" s="52"/>
      <c r="J264" s="52"/>
      <c r="K264" s="8"/>
      <c r="L264" s="8"/>
      <c r="M264" s="26"/>
    </row>
    <row r="265" spans="1:13">
      <c r="A265" s="54"/>
      <c r="B265" s="52"/>
      <c r="C265" s="52"/>
      <c r="D265" s="52"/>
      <c r="E265" s="52"/>
      <c r="F265" s="52"/>
      <c r="G265" s="52"/>
      <c r="H265" s="52"/>
      <c r="I265" s="52"/>
      <c r="J265" s="52"/>
      <c r="K265" s="8"/>
      <c r="L265" s="8"/>
      <c r="M265" s="26"/>
    </row>
    <row r="266" spans="1:13">
      <c r="A266" s="54"/>
      <c r="B266" s="52"/>
      <c r="C266" s="52"/>
      <c r="D266" s="52"/>
      <c r="E266" s="52"/>
      <c r="F266" s="52"/>
      <c r="G266" s="52"/>
      <c r="H266" s="52"/>
      <c r="I266" s="52"/>
      <c r="J266" s="52"/>
      <c r="K266" s="8"/>
      <c r="L266" s="8"/>
      <c r="M266" s="26"/>
    </row>
    <row r="267" spans="1:13">
      <c r="A267" s="54"/>
      <c r="B267" s="52"/>
      <c r="C267" s="52"/>
      <c r="D267" s="52"/>
      <c r="E267" s="52"/>
      <c r="F267" s="52"/>
      <c r="G267" s="52"/>
      <c r="H267" s="52"/>
      <c r="I267" s="52"/>
      <c r="J267" s="52"/>
      <c r="K267" s="8"/>
      <c r="L267" s="8"/>
      <c r="M267" s="26"/>
    </row>
    <row r="268" spans="1:13">
      <c r="A268" s="54" t="s">
        <v>293</v>
      </c>
      <c r="B268" s="52">
        <f>3.14*(F208/2)^4/4</f>
        <v>1.1493184999999999E-8</v>
      </c>
      <c r="C268" s="52"/>
      <c r="D268" s="52"/>
      <c r="E268" s="52"/>
      <c r="F268" s="52"/>
      <c r="G268" s="52"/>
      <c r="H268" s="52"/>
      <c r="I268" s="52"/>
      <c r="J268" s="52"/>
      <c r="K268" s="8"/>
      <c r="L268" s="8"/>
      <c r="M268" s="26"/>
    </row>
    <row r="269" spans="1:13">
      <c r="A269" s="54"/>
      <c r="B269" s="52"/>
      <c r="C269" s="52"/>
      <c r="D269" s="52"/>
      <c r="E269" s="52"/>
      <c r="F269" s="52"/>
      <c r="G269" s="52"/>
      <c r="H269" s="52"/>
      <c r="I269" s="52"/>
      <c r="J269" s="52"/>
      <c r="K269" s="8"/>
      <c r="L269" s="8"/>
      <c r="M269" s="26"/>
    </row>
    <row r="270" spans="1:13">
      <c r="A270" s="54"/>
      <c r="B270" s="52"/>
      <c r="C270" s="52"/>
      <c r="D270" s="52"/>
      <c r="E270" s="52"/>
      <c r="F270" s="52"/>
      <c r="G270" s="52"/>
      <c r="H270" s="52"/>
      <c r="I270" s="52"/>
      <c r="J270" s="52"/>
      <c r="K270" s="8"/>
      <c r="L270" s="8"/>
      <c r="M270" s="26"/>
    </row>
    <row r="271" spans="1:13">
      <c r="A271" s="54"/>
      <c r="B271" s="52"/>
      <c r="C271" s="52"/>
      <c r="D271" s="52"/>
      <c r="E271" s="52"/>
      <c r="F271" s="52"/>
      <c r="G271" s="52"/>
      <c r="H271" s="52"/>
      <c r="I271" s="52"/>
      <c r="J271" s="52"/>
      <c r="K271" s="8"/>
      <c r="L271" s="8"/>
      <c r="M271" s="26"/>
    </row>
    <row r="272" spans="1:13">
      <c r="A272" s="70" t="s">
        <v>295</v>
      </c>
      <c r="B272" s="52">
        <f>I207*B264^2*B260/(8*2.1*10^11*B268)</f>
        <v>2.9955370369495939E-2</v>
      </c>
      <c r="C272" s="52" t="s">
        <v>20</v>
      </c>
      <c r="D272" s="52"/>
      <c r="E272" s="52"/>
      <c r="F272" s="52"/>
      <c r="G272" s="52"/>
      <c r="H272" s="52"/>
      <c r="I272" s="52"/>
      <c r="J272" s="52"/>
      <c r="K272" s="8"/>
      <c r="L272" s="8"/>
      <c r="M272" s="26"/>
    </row>
    <row r="273" spans="1:13">
      <c r="A273" s="54"/>
      <c r="B273" s="52"/>
      <c r="C273" s="52"/>
      <c r="D273" s="52"/>
      <c r="E273" s="52"/>
      <c r="F273" s="52"/>
      <c r="G273" s="52"/>
      <c r="H273" s="52"/>
      <c r="I273" s="52"/>
      <c r="J273" s="52"/>
      <c r="K273" s="8"/>
      <c r="L273" s="8"/>
      <c r="M273" s="26"/>
    </row>
    <row r="274" spans="1:13">
      <c r="A274" s="54"/>
      <c r="B274" s="52"/>
      <c r="C274" s="52"/>
      <c r="D274" s="52"/>
      <c r="E274" s="52"/>
      <c r="F274" s="52"/>
      <c r="G274" s="52"/>
      <c r="H274" s="52"/>
      <c r="I274" s="52"/>
      <c r="J274" s="52"/>
      <c r="K274" s="8"/>
      <c r="L274" s="8"/>
      <c r="M274" s="26"/>
    </row>
    <row r="275" spans="1:13">
      <c r="A275" s="54" t="s">
        <v>296</v>
      </c>
      <c r="B275" s="52">
        <f>G207-(B246+B250+B254+B272)</f>
        <v>2.6320911558077378</v>
      </c>
      <c r="C275" s="52" t="s">
        <v>20</v>
      </c>
      <c r="D275" s="52"/>
      <c r="E275" s="52"/>
      <c r="F275" s="52"/>
      <c r="G275" s="52"/>
      <c r="H275" s="52"/>
      <c r="I275" s="52"/>
      <c r="J275" s="52"/>
      <c r="K275" s="8"/>
      <c r="L275" s="8"/>
      <c r="M275" s="26"/>
    </row>
    <row r="276" spans="1:13">
      <c r="A276" s="54" t="s">
        <v>304</v>
      </c>
      <c r="B276" s="52"/>
      <c r="C276" s="52"/>
      <c r="D276" s="52"/>
      <c r="E276" s="52"/>
      <c r="F276" s="52"/>
      <c r="G276" s="52"/>
      <c r="H276" s="52"/>
      <c r="I276" s="52"/>
      <c r="J276" s="52"/>
      <c r="K276" s="8"/>
      <c r="L276" s="8"/>
      <c r="M276" s="26"/>
    </row>
    <row r="277" spans="1:13">
      <c r="A277" s="54" t="s">
        <v>240</v>
      </c>
      <c r="B277" s="52">
        <v>0.6</v>
      </c>
      <c r="C277" s="52"/>
      <c r="D277" s="52"/>
      <c r="E277" s="52"/>
      <c r="F277" s="52"/>
      <c r="G277" s="52"/>
      <c r="H277" s="52"/>
      <c r="I277" s="52"/>
      <c r="J277" s="52"/>
      <c r="K277" s="8"/>
      <c r="L277" s="8"/>
      <c r="M277" s="26"/>
    </row>
    <row r="278" spans="1:13">
      <c r="A278" s="54"/>
      <c r="B278" s="52"/>
      <c r="C278" s="52"/>
      <c r="D278" s="52"/>
      <c r="E278" s="52"/>
      <c r="F278" s="52"/>
      <c r="G278" s="52"/>
      <c r="H278" s="52"/>
      <c r="I278" s="52"/>
      <c r="J278" s="52"/>
      <c r="K278" s="8"/>
      <c r="L278" s="8"/>
      <c r="M278" s="26"/>
    </row>
    <row r="279" spans="1:13">
      <c r="A279" s="54"/>
      <c r="B279" s="52"/>
      <c r="C279" s="52"/>
      <c r="D279" s="52"/>
      <c r="E279" s="52"/>
      <c r="F279" s="52"/>
      <c r="G279" s="52"/>
      <c r="H279" s="52"/>
      <c r="I279" s="52"/>
      <c r="J279" s="52"/>
      <c r="K279" s="8"/>
      <c r="L279" s="8"/>
      <c r="M279" s="26"/>
    </row>
    <row r="280" spans="1:13">
      <c r="A280" s="70" t="s">
        <v>305</v>
      </c>
      <c r="B280" s="52">
        <f>B277*B207/5100</f>
        <v>0.15294117647058825</v>
      </c>
      <c r="C280" s="52"/>
      <c r="D280" s="52"/>
      <c r="E280" s="52"/>
      <c r="F280" s="52"/>
      <c r="G280" s="52"/>
      <c r="H280" s="52"/>
      <c r="I280" s="52"/>
      <c r="J280" s="52"/>
      <c r="K280" s="8"/>
      <c r="L280" s="8"/>
      <c r="M280" s="26"/>
    </row>
    <row r="281" spans="1:13">
      <c r="A281" s="54"/>
      <c r="B281" s="52"/>
      <c r="C281" s="52"/>
      <c r="D281" s="52"/>
      <c r="E281" s="52"/>
      <c r="F281" s="52"/>
      <c r="G281" s="52"/>
      <c r="H281" s="52"/>
      <c r="I281" s="52"/>
      <c r="J281" s="52"/>
      <c r="K281" s="8"/>
      <c r="L281" s="8"/>
      <c r="M281" s="26"/>
    </row>
    <row r="282" spans="1:13">
      <c r="A282" s="54"/>
      <c r="B282" s="52"/>
      <c r="C282" s="52"/>
      <c r="D282" s="52"/>
      <c r="E282" s="52"/>
      <c r="F282" s="52"/>
      <c r="G282" s="52"/>
      <c r="H282" s="52"/>
      <c r="I282" s="52"/>
      <c r="J282" s="52"/>
      <c r="K282" s="8"/>
      <c r="L282" s="8"/>
      <c r="M282" s="26"/>
    </row>
    <row r="283" spans="1:13">
      <c r="A283" s="54"/>
      <c r="B283" s="52"/>
      <c r="C283" s="52"/>
      <c r="D283" s="52"/>
      <c r="E283" s="52"/>
      <c r="F283" s="52"/>
      <c r="G283" s="52"/>
      <c r="H283" s="52"/>
      <c r="I283" s="52"/>
      <c r="J283" s="52"/>
      <c r="K283" s="8"/>
      <c r="L283" s="8"/>
      <c r="M283" s="26"/>
    </row>
    <row r="284" spans="1:13">
      <c r="A284" s="70" t="s">
        <v>306</v>
      </c>
      <c r="B284" s="52">
        <f>(EXP(B280)-EXP(-B280))/2</f>
        <v>0.15353811545782597</v>
      </c>
      <c r="C284" s="52"/>
      <c r="D284" s="52"/>
      <c r="E284" s="52"/>
      <c r="F284" s="52"/>
      <c r="G284" s="52"/>
      <c r="H284" s="52"/>
      <c r="I284" s="52"/>
      <c r="J284" s="52"/>
      <c r="K284" s="8"/>
      <c r="L284" s="8"/>
      <c r="M284" s="26"/>
    </row>
    <row r="285" spans="1:13">
      <c r="A285" s="54"/>
      <c r="B285" s="52"/>
      <c r="C285" s="52"/>
      <c r="D285" s="52"/>
      <c r="E285" s="52"/>
      <c r="F285" s="52"/>
      <c r="G285" s="52"/>
      <c r="H285" s="52"/>
      <c r="I285" s="52"/>
      <c r="J285" s="52"/>
      <c r="K285" s="8"/>
      <c r="L285" s="8"/>
      <c r="M285" s="26"/>
    </row>
    <row r="286" spans="1:13">
      <c r="A286" s="54"/>
      <c r="B286" s="52"/>
      <c r="C286" s="52"/>
      <c r="D286" s="52"/>
      <c r="E286" s="52"/>
      <c r="F286" s="52"/>
      <c r="G286" s="52"/>
      <c r="H286" s="52"/>
      <c r="I286" s="52"/>
      <c r="J286" s="52"/>
      <c r="K286" s="8"/>
      <c r="L286" s="8"/>
      <c r="M286" s="26"/>
    </row>
    <row r="287" spans="1:13">
      <c r="A287" s="54"/>
      <c r="B287" s="52"/>
      <c r="C287" s="52"/>
      <c r="D287" s="52"/>
      <c r="E287" s="52"/>
      <c r="F287" s="52"/>
      <c r="G287" s="52"/>
      <c r="H287" s="52"/>
      <c r="I287" s="52"/>
      <c r="J287" s="52"/>
      <c r="K287" s="8"/>
      <c r="L287" s="8"/>
      <c r="M287" s="26"/>
    </row>
    <row r="288" spans="1:13">
      <c r="A288" s="54" t="s">
        <v>296</v>
      </c>
      <c r="B288" s="52">
        <f>(G207/(SQRT(G216^2+B284^2)))-(B272+B250+B246+B228)</f>
        <v>2.7248879896692024</v>
      </c>
      <c r="C288" s="52"/>
      <c r="D288" s="52"/>
      <c r="E288" s="52"/>
      <c r="F288" s="52"/>
      <c r="G288" s="52"/>
      <c r="H288" s="52"/>
      <c r="I288" s="52"/>
      <c r="J288" s="52"/>
      <c r="K288" s="8"/>
      <c r="L288" s="8"/>
      <c r="M288" s="26"/>
    </row>
    <row r="289" spans="1:13" ht="16.5" thickBot="1">
      <c r="A289" s="58"/>
      <c r="B289" s="59"/>
      <c r="C289" s="59"/>
      <c r="D289" s="59"/>
      <c r="E289" s="59"/>
      <c r="F289" s="59"/>
      <c r="G289" s="59"/>
      <c r="H289" s="59"/>
      <c r="I289" s="59"/>
      <c r="J289" s="59"/>
      <c r="K289" s="13"/>
      <c r="L289" s="13"/>
      <c r="M289" s="24"/>
    </row>
    <row r="290" spans="1:13">
      <c r="A290" s="151" t="s">
        <v>5</v>
      </c>
      <c r="B290" s="152"/>
      <c r="C290" s="152"/>
      <c r="D290" s="152"/>
      <c r="E290" s="152"/>
      <c r="F290" s="152"/>
      <c r="G290" s="152"/>
      <c r="H290" s="152"/>
      <c r="I290" s="152"/>
      <c r="J290" s="153"/>
    </row>
    <row r="291" spans="1:13" ht="16.5" thickBot="1">
      <c r="A291" s="31"/>
      <c r="B291" s="28" t="s">
        <v>109</v>
      </c>
      <c r="C291" s="28"/>
      <c r="D291" s="28"/>
      <c r="E291" s="28"/>
      <c r="F291" s="28"/>
      <c r="G291" s="28"/>
      <c r="H291" s="28"/>
      <c r="I291" s="28"/>
      <c r="J291" s="77"/>
    </row>
    <row r="292" spans="1:13" ht="48" thickBot="1">
      <c r="A292" s="33" t="s">
        <v>6</v>
      </c>
      <c r="B292" s="33" t="s">
        <v>7</v>
      </c>
      <c r="C292" s="33" t="s">
        <v>8</v>
      </c>
      <c r="D292" s="33" t="s">
        <v>9</v>
      </c>
      <c r="E292" s="33" t="s">
        <v>10</v>
      </c>
      <c r="F292" s="33" t="s">
        <v>11</v>
      </c>
      <c r="G292" s="33" t="s">
        <v>12</v>
      </c>
      <c r="H292" s="33" t="s">
        <v>13</v>
      </c>
      <c r="I292" s="33" t="s">
        <v>14</v>
      </c>
      <c r="J292" s="33" t="s">
        <v>15</v>
      </c>
    </row>
    <row r="293" spans="1:13" ht="19.5" thickBot="1">
      <c r="A293" s="78">
        <v>1300</v>
      </c>
      <c r="B293" s="79">
        <v>1100</v>
      </c>
      <c r="C293" s="79">
        <v>40</v>
      </c>
      <c r="D293" s="78">
        <v>89</v>
      </c>
      <c r="E293" s="79">
        <v>16</v>
      </c>
      <c r="F293" s="78">
        <v>855</v>
      </c>
      <c r="G293" s="78">
        <v>3</v>
      </c>
      <c r="H293" s="78">
        <v>10.199999999999999</v>
      </c>
      <c r="I293" s="78">
        <v>24</v>
      </c>
      <c r="J293" s="78">
        <v>0.3</v>
      </c>
    </row>
    <row r="294" spans="1:13">
      <c r="A294" s="31"/>
      <c r="B294" s="28"/>
      <c r="C294" s="28"/>
      <c r="D294" s="28"/>
      <c r="E294" s="28"/>
      <c r="F294" s="28"/>
      <c r="G294" s="28"/>
      <c r="H294" s="28"/>
      <c r="I294" s="28"/>
      <c r="J294" s="77"/>
    </row>
    <row r="295" spans="1:13">
      <c r="A295" s="154" t="s">
        <v>16</v>
      </c>
      <c r="B295" s="155"/>
      <c r="C295" s="155"/>
      <c r="D295" s="80">
        <v>1000</v>
      </c>
      <c r="E295" s="28" t="s">
        <v>17</v>
      </c>
      <c r="F295" s="28"/>
      <c r="G295" s="28"/>
      <c r="H295" s="28"/>
      <c r="I295" s="28"/>
      <c r="J295" s="77"/>
    </row>
    <row r="296" spans="1:13">
      <c r="A296" s="156" t="s">
        <v>38</v>
      </c>
      <c r="B296" s="157"/>
      <c r="C296" s="157"/>
      <c r="D296" s="80">
        <v>6.5</v>
      </c>
      <c r="E296" s="28" t="s">
        <v>39</v>
      </c>
      <c r="F296" s="28" t="s">
        <v>40</v>
      </c>
      <c r="G296" s="28"/>
      <c r="H296" s="28">
        <f>D293-2*D296</f>
        <v>76</v>
      </c>
      <c r="I296" s="28"/>
      <c r="J296" s="77"/>
    </row>
    <row r="297" spans="1:13">
      <c r="A297" s="147" t="s">
        <v>18</v>
      </c>
      <c r="B297" s="148"/>
      <c r="C297" s="148"/>
      <c r="D297" s="80"/>
      <c r="E297" s="28"/>
      <c r="F297" s="28"/>
      <c r="G297" s="28"/>
      <c r="H297" s="28"/>
      <c r="I297" s="28"/>
      <c r="J297" s="77"/>
    </row>
    <row r="298" spans="1:13">
      <c r="A298" s="31"/>
      <c r="B298" s="28"/>
      <c r="C298" s="28"/>
      <c r="D298" s="28"/>
      <c r="E298" s="28"/>
      <c r="F298" s="28"/>
      <c r="G298" s="28"/>
      <c r="H298" s="28"/>
      <c r="I298" s="28"/>
      <c r="J298" s="77"/>
    </row>
    <row r="299" spans="1:13">
      <c r="A299" s="54"/>
      <c r="B299" s="28"/>
      <c r="C299" s="28"/>
      <c r="D299" s="28"/>
      <c r="E299" s="28">
        <f>F293*(1-J293)+D295*J293</f>
        <v>898.5</v>
      </c>
      <c r="F299" s="28" t="str">
        <f>E295</f>
        <v>кг/м3</v>
      </c>
      <c r="G299" s="28"/>
      <c r="H299" s="28"/>
      <c r="I299" s="28"/>
      <c r="J299" s="77"/>
    </row>
    <row r="300" spans="1:13">
      <c r="A300" s="31"/>
      <c r="B300" s="28"/>
      <c r="C300" s="28"/>
      <c r="D300" s="28"/>
      <c r="E300" s="28"/>
      <c r="F300" s="28"/>
      <c r="G300" s="28"/>
      <c r="H300" s="28"/>
      <c r="I300" s="28"/>
      <c r="J300" s="77"/>
    </row>
    <row r="301" spans="1:13">
      <c r="A301" s="147" t="s">
        <v>19</v>
      </c>
      <c r="B301" s="148"/>
      <c r="C301" s="148"/>
      <c r="D301" s="148"/>
      <c r="E301" s="28"/>
      <c r="F301" s="28"/>
      <c r="G301" s="28"/>
      <c r="H301" s="28"/>
      <c r="I301" s="28"/>
      <c r="J301" s="77"/>
    </row>
    <row r="302" spans="1:13">
      <c r="A302" s="54"/>
      <c r="B302" s="28"/>
      <c r="C302" s="28"/>
      <c r="D302" s="28"/>
      <c r="E302" s="28"/>
      <c r="F302" s="28"/>
      <c r="G302" s="28"/>
      <c r="H302" s="28"/>
      <c r="I302" s="28"/>
      <c r="J302" s="77"/>
    </row>
    <row r="303" spans="1:13">
      <c r="A303" s="31"/>
      <c r="B303" s="28"/>
      <c r="C303" s="28"/>
      <c r="D303" s="28"/>
      <c r="E303" s="28">
        <f>A293-I293*10^5/(E299*9.81)</f>
        <v>1027.7147267191835</v>
      </c>
      <c r="F303" s="28" t="s">
        <v>20</v>
      </c>
      <c r="G303" s="28"/>
      <c r="H303" s="28"/>
      <c r="I303" s="28"/>
      <c r="J303" s="77"/>
    </row>
    <row r="304" spans="1:13">
      <c r="A304" s="31"/>
      <c r="B304" s="28"/>
      <c r="C304" s="28"/>
      <c r="D304" s="28"/>
      <c r="E304" s="28"/>
      <c r="F304" s="28"/>
      <c r="G304" s="28"/>
      <c r="H304" s="28"/>
      <c r="I304" s="28"/>
      <c r="J304" s="77"/>
    </row>
    <row r="305" spans="1:10">
      <c r="A305" s="147" t="s">
        <v>23</v>
      </c>
      <c r="B305" s="148"/>
      <c r="C305" s="148"/>
      <c r="D305" s="148"/>
      <c r="E305" s="148"/>
      <c r="F305" s="148"/>
      <c r="G305" s="28">
        <v>3</v>
      </c>
      <c r="H305" s="28" t="s">
        <v>21</v>
      </c>
      <c r="I305" s="28"/>
      <c r="J305" s="77"/>
    </row>
    <row r="306" spans="1:10">
      <c r="A306" s="31"/>
      <c r="B306" s="28"/>
      <c r="C306" s="28"/>
      <c r="D306" s="28"/>
      <c r="E306" s="28"/>
      <c r="F306" s="28"/>
      <c r="G306" s="28"/>
      <c r="H306" s="28"/>
      <c r="I306" s="28"/>
      <c r="J306" s="77"/>
    </row>
    <row r="307" spans="1:10">
      <c r="A307" s="54"/>
      <c r="B307" s="28"/>
      <c r="C307" s="28"/>
      <c r="D307" s="28"/>
      <c r="E307" s="28">
        <f>E303*E299*9.81*(C293/1000)^2+G305*10^5*(C293/1000)^2</f>
        <v>14973.712800000001</v>
      </c>
      <c r="F307" s="28" t="s">
        <v>22</v>
      </c>
      <c r="G307" s="28"/>
      <c r="H307" s="28"/>
      <c r="I307" s="28"/>
      <c r="J307" s="77"/>
    </row>
    <row r="308" spans="1:10">
      <c r="A308" s="31"/>
      <c r="B308" s="28"/>
      <c r="C308" s="28"/>
      <c r="D308" s="28"/>
      <c r="E308" s="28"/>
      <c r="F308" s="28"/>
      <c r="G308" s="28"/>
      <c r="H308" s="28"/>
      <c r="I308" s="28"/>
      <c r="J308" s="77"/>
    </row>
    <row r="309" spans="1:10">
      <c r="A309" s="147" t="s">
        <v>24</v>
      </c>
      <c r="B309" s="148"/>
      <c r="C309" s="148"/>
      <c r="D309" s="148"/>
      <c r="E309" s="148"/>
      <c r="F309" s="148"/>
      <c r="G309" s="148"/>
      <c r="H309" s="28"/>
      <c r="I309" s="28"/>
      <c r="J309" s="77"/>
    </row>
    <row r="310" spans="1:10">
      <c r="A310" s="31"/>
      <c r="B310" s="28"/>
      <c r="C310" s="28"/>
      <c r="D310" s="28"/>
      <c r="E310" s="28"/>
      <c r="F310" s="28"/>
      <c r="G310" s="28"/>
      <c r="H310" s="28"/>
      <c r="I310" s="28"/>
      <c r="J310" s="77"/>
    </row>
    <row r="311" spans="1:10">
      <c r="A311" s="31"/>
      <c r="B311" s="52"/>
      <c r="C311" s="28"/>
      <c r="D311" s="28"/>
      <c r="E311" s="81">
        <f>E307*B293/(2.1*10^11)*(1/E314+1/E315)</f>
        <v>0.40312608124844818</v>
      </c>
      <c r="F311" s="28" t="s">
        <v>20</v>
      </c>
      <c r="G311" s="28"/>
      <c r="H311" s="28"/>
      <c r="I311" s="28"/>
      <c r="J311" s="77"/>
    </row>
    <row r="312" spans="1:10">
      <c r="A312" s="31"/>
      <c r="B312" s="28"/>
      <c r="C312" s="28"/>
      <c r="D312" s="28"/>
      <c r="E312" s="81"/>
      <c r="F312" s="28"/>
      <c r="G312" s="28"/>
      <c r="H312" s="28"/>
      <c r="I312" s="28"/>
      <c r="J312" s="77"/>
    </row>
    <row r="313" spans="1:10">
      <c r="A313" s="31"/>
      <c r="B313" s="28"/>
      <c r="C313" s="28"/>
      <c r="D313" s="28"/>
      <c r="E313" s="81"/>
      <c r="F313" s="28"/>
      <c r="G313" s="28"/>
      <c r="H313" s="28"/>
      <c r="I313" s="28"/>
      <c r="J313" s="77"/>
    </row>
    <row r="314" spans="1:10">
      <c r="A314" s="31"/>
      <c r="B314" s="28"/>
      <c r="C314" s="28"/>
      <c r="D314" s="28" t="s">
        <v>25</v>
      </c>
      <c r="E314" s="82">
        <f>PI()/4*(E293/1000)^2</f>
        <v>2.0106192982974675E-4</v>
      </c>
      <c r="F314" s="28" t="s">
        <v>26</v>
      </c>
      <c r="G314" s="28"/>
      <c r="H314" s="28"/>
      <c r="I314" s="28"/>
      <c r="J314" s="77"/>
    </row>
    <row r="315" spans="1:10">
      <c r="A315" s="31"/>
      <c r="B315" s="28"/>
      <c r="C315" s="28"/>
      <c r="D315" s="28" t="s">
        <v>27</v>
      </c>
      <c r="E315" s="82">
        <f>PI()/4*((D293/1000)^2-(E293/1000)^2)</f>
        <v>6.0200769224414401E-3</v>
      </c>
      <c r="F315" s="28" t="s">
        <v>26</v>
      </c>
      <c r="G315" s="28"/>
      <c r="H315" s="28"/>
      <c r="I315" s="28"/>
      <c r="J315" s="77"/>
    </row>
    <row r="316" spans="1:10">
      <c r="A316" s="31"/>
      <c r="B316" s="28"/>
      <c r="C316" s="28"/>
      <c r="D316" s="28" t="s">
        <v>28</v>
      </c>
      <c r="E316" s="82">
        <f>PI()/4*(C293/1000)^2</f>
        <v>1.2566370614359172E-3</v>
      </c>
      <c r="F316" s="28" t="str">
        <f>F315</f>
        <v>м2</v>
      </c>
      <c r="G316" s="28"/>
      <c r="H316" s="28"/>
      <c r="I316" s="28"/>
      <c r="J316" s="77"/>
    </row>
    <row r="317" spans="1:10">
      <c r="A317" s="31"/>
      <c r="B317" s="28"/>
      <c r="C317" s="28"/>
      <c r="D317" s="28"/>
      <c r="E317" s="28"/>
      <c r="F317" s="28"/>
      <c r="G317" s="28"/>
      <c r="H317" s="28"/>
      <c r="I317" s="28"/>
      <c r="J317" s="77"/>
    </row>
    <row r="318" spans="1:10">
      <c r="A318" s="54"/>
      <c r="B318" s="28"/>
      <c r="C318" s="28"/>
      <c r="D318" s="28"/>
      <c r="E318" s="28"/>
      <c r="F318" s="28"/>
      <c r="G318" s="81">
        <f>1440*E316*H293*(G293-E311+225*B293^2*H293^2*G293/10^12)</f>
        <v>49.500180523879308</v>
      </c>
      <c r="H318" s="28" t="s">
        <v>29</v>
      </c>
      <c r="I318" s="28"/>
      <c r="J318" s="77"/>
    </row>
    <row r="319" spans="1:10">
      <c r="A319" s="31"/>
      <c r="B319" s="28"/>
      <c r="C319" s="28"/>
      <c r="D319" s="28"/>
      <c r="E319" s="28"/>
      <c r="F319" s="28"/>
      <c r="G319" s="28"/>
      <c r="H319" s="28"/>
      <c r="I319" s="28"/>
      <c r="J319" s="77"/>
    </row>
    <row r="320" spans="1:10">
      <c r="A320" s="147" t="s">
        <v>30</v>
      </c>
      <c r="B320" s="148"/>
      <c r="C320" s="148"/>
      <c r="D320" s="148"/>
      <c r="E320" s="148"/>
      <c r="F320" s="148"/>
      <c r="G320" s="148"/>
      <c r="H320" s="28"/>
      <c r="I320" s="28"/>
      <c r="J320" s="77"/>
    </row>
    <row r="321" spans="1:10">
      <c r="A321" s="31"/>
      <c r="B321" s="28"/>
      <c r="C321" s="28"/>
      <c r="D321" s="28"/>
      <c r="E321" s="28"/>
      <c r="F321" s="28"/>
      <c r="G321" s="28"/>
      <c r="H321" s="28"/>
      <c r="I321" s="28"/>
      <c r="J321" s="77"/>
    </row>
    <row r="322" spans="1:10">
      <c r="A322" s="31"/>
      <c r="B322" s="52"/>
      <c r="C322" s="28"/>
      <c r="D322" s="28"/>
      <c r="E322" s="28">
        <f>PI()*H293*B293/(30*5000)</f>
        <v>0.2349911304885165</v>
      </c>
      <c r="F322" s="12" t="s">
        <v>32</v>
      </c>
      <c r="G322" s="28">
        <f>E322*180/PI()</f>
        <v>13.463999999999999</v>
      </c>
      <c r="H322" s="28" t="s">
        <v>33</v>
      </c>
      <c r="I322" s="28"/>
      <c r="J322" s="77"/>
    </row>
    <row r="323" spans="1:10">
      <c r="A323" s="31"/>
      <c r="B323" s="28"/>
      <c r="C323" s="28"/>
      <c r="D323" s="28"/>
      <c r="E323" s="28"/>
      <c r="F323" s="28"/>
      <c r="G323" s="28"/>
      <c r="H323" s="28"/>
      <c r="I323" s="28"/>
      <c r="J323" s="77"/>
    </row>
    <row r="324" spans="1:10">
      <c r="A324" s="31"/>
      <c r="B324" s="83" t="s">
        <v>47</v>
      </c>
      <c r="C324" s="83">
        <v>38</v>
      </c>
      <c r="D324" s="83" t="s">
        <v>46</v>
      </c>
      <c r="E324" s="83">
        <v>1</v>
      </c>
      <c r="F324" s="28"/>
      <c r="G324" s="28"/>
      <c r="H324" s="28"/>
      <c r="I324" s="28"/>
      <c r="J324" s="77"/>
    </row>
    <row r="325" spans="1:10">
      <c r="A325" s="31"/>
      <c r="B325" s="52"/>
      <c r="C325" s="28"/>
      <c r="D325" s="28"/>
      <c r="E325" s="28"/>
      <c r="F325" s="28"/>
      <c r="G325" s="28"/>
      <c r="H325" s="28"/>
      <c r="I325" s="28"/>
      <c r="J325" s="77"/>
    </row>
    <row r="326" spans="1:10">
      <c r="A326" s="31"/>
      <c r="B326" s="28"/>
      <c r="C326" s="28"/>
      <c r="D326" s="28"/>
      <c r="E326" s="28"/>
      <c r="F326" s="28"/>
      <c r="G326" s="81">
        <f>1440*E316*H293*(G293*(1+E324/2*E322^2)-E311)</f>
        <v>49.460618327743447</v>
      </c>
      <c r="H326" s="28" t="str">
        <f>H318</f>
        <v>м3/сут</v>
      </c>
      <c r="I326" s="28"/>
      <c r="J326" s="77"/>
    </row>
    <row r="327" spans="1:10">
      <c r="A327" s="31"/>
      <c r="B327" s="28"/>
      <c r="C327" s="28"/>
      <c r="D327" s="28"/>
      <c r="E327" s="28"/>
      <c r="F327" s="28"/>
      <c r="G327" s="28"/>
      <c r="H327" s="28"/>
      <c r="I327" s="28"/>
      <c r="J327" s="77"/>
    </row>
    <row r="328" spans="1:10">
      <c r="A328" s="147" t="s">
        <v>31</v>
      </c>
      <c r="B328" s="148"/>
      <c r="C328" s="148"/>
      <c r="D328" s="148"/>
      <c r="E328" s="148"/>
      <c r="F328" s="148"/>
      <c r="G328" s="148"/>
      <c r="H328" s="28"/>
      <c r="I328" s="28"/>
      <c r="J328" s="77"/>
    </row>
    <row r="329" spans="1:10">
      <c r="A329" s="31"/>
      <c r="B329" s="28"/>
      <c r="C329" s="28"/>
      <c r="D329" s="28"/>
      <c r="E329" s="28"/>
      <c r="F329" s="28"/>
      <c r="G329" s="28"/>
      <c r="H329" s="28"/>
      <c r="I329" s="28"/>
      <c r="J329" s="77"/>
    </row>
    <row r="330" spans="1:10">
      <c r="A330" s="31"/>
      <c r="B330" s="28"/>
      <c r="C330" s="28">
        <f>COS(E322)</f>
        <v>0.97251640649792381</v>
      </c>
      <c r="D330" s="28"/>
      <c r="E330" s="28"/>
      <c r="F330" s="28"/>
      <c r="G330" s="28"/>
      <c r="H330" s="28"/>
      <c r="I330" s="28"/>
      <c r="J330" s="77"/>
    </row>
    <row r="331" spans="1:10">
      <c r="A331" s="31"/>
      <c r="B331" s="28"/>
      <c r="C331" s="28"/>
      <c r="D331" s="28"/>
      <c r="E331" s="28"/>
      <c r="F331" s="28"/>
      <c r="G331" s="28"/>
      <c r="H331" s="28"/>
      <c r="I331" s="28"/>
      <c r="J331" s="77"/>
    </row>
    <row r="332" spans="1:10">
      <c r="A332" s="31"/>
      <c r="B332" s="52"/>
      <c r="C332" s="28"/>
      <c r="D332" s="28"/>
      <c r="E332" s="28"/>
      <c r="F332" s="28"/>
      <c r="G332" s="81">
        <f>1440*E316*H293*(G293/C330-E311)</f>
        <v>49.496603339399172</v>
      </c>
      <c r="H332" s="28" t="str">
        <f>H326</f>
        <v>м3/сут</v>
      </c>
      <c r="I332" s="28"/>
      <c r="J332" s="77"/>
    </row>
    <row r="333" spans="1:10">
      <c r="A333" s="31"/>
      <c r="B333" s="28"/>
      <c r="C333" s="28"/>
      <c r="D333" s="28"/>
      <c r="E333" s="28"/>
      <c r="F333" s="28"/>
      <c r="G333" s="28"/>
      <c r="H333" s="28"/>
      <c r="I333" s="28"/>
      <c r="J333" s="77"/>
    </row>
    <row r="334" spans="1:10">
      <c r="A334" s="31"/>
      <c r="B334" s="28"/>
      <c r="C334" s="28"/>
      <c r="D334" s="28"/>
      <c r="E334" s="28"/>
      <c r="F334" s="28"/>
      <c r="G334" s="28"/>
      <c r="H334" s="28"/>
      <c r="I334" s="28"/>
      <c r="J334" s="77"/>
    </row>
    <row r="335" spans="1:10">
      <c r="A335" s="141" t="s">
        <v>34</v>
      </c>
      <c r="B335" s="142"/>
      <c r="C335" s="142"/>
      <c r="D335" s="142"/>
      <c r="E335" s="142"/>
      <c r="F335" s="142"/>
      <c r="G335" s="142"/>
      <c r="H335" s="28">
        <v>0.6</v>
      </c>
      <c r="I335" s="28" t="s">
        <v>35</v>
      </c>
      <c r="J335" s="77"/>
    </row>
    <row r="336" spans="1:10">
      <c r="A336" s="31"/>
      <c r="B336" s="28"/>
      <c r="C336" s="28"/>
      <c r="D336" s="28"/>
      <c r="E336" s="28"/>
      <c r="F336" s="28"/>
      <c r="G336" s="28"/>
      <c r="H336" s="28"/>
      <c r="I336" s="28"/>
      <c r="J336" s="77"/>
    </row>
    <row r="337" spans="1:10">
      <c r="A337" s="31"/>
      <c r="B337" s="28"/>
      <c r="C337" s="28">
        <f>H335*B293/5000</f>
        <v>0.13200000000000001</v>
      </c>
      <c r="D337" s="28"/>
      <c r="E337" s="28"/>
      <c r="F337" s="28"/>
      <c r="G337" s="28"/>
      <c r="H337" s="28"/>
      <c r="I337" s="28"/>
      <c r="J337" s="77"/>
    </row>
    <row r="338" spans="1:10">
      <c r="A338" s="31"/>
      <c r="B338" s="52"/>
      <c r="C338" s="28"/>
      <c r="D338" s="28"/>
      <c r="E338" s="28"/>
      <c r="F338" s="28"/>
      <c r="G338" s="28"/>
      <c r="H338" s="28"/>
      <c r="I338" s="28"/>
      <c r="J338" s="77"/>
    </row>
    <row r="339" spans="1:10">
      <c r="A339" s="31"/>
      <c r="B339" s="28"/>
      <c r="C339" s="28"/>
      <c r="D339" s="28"/>
      <c r="E339" s="28"/>
      <c r="F339" s="28"/>
      <c r="G339" s="28"/>
      <c r="H339" s="28"/>
      <c r="I339" s="28"/>
      <c r="J339" s="77"/>
    </row>
    <row r="340" spans="1:10">
      <c r="A340" s="31"/>
      <c r="B340" s="52"/>
      <c r="C340" s="28"/>
      <c r="D340" s="28">
        <f>(EXP(C337)-EXP(-C337))/2</f>
        <v>0.13238366209393093</v>
      </c>
      <c r="E340" s="28"/>
      <c r="F340" s="28"/>
      <c r="G340" s="28"/>
      <c r="H340" s="28"/>
      <c r="I340" s="28"/>
      <c r="J340" s="77"/>
    </row>
    <row r="341" spans="1:10">
      <c r="A341" s="31"/>
      <c r="B341" s="28"/>
      <c r="C341" s="28"/>
      <c r="D341" s="28"/>
      <c r="E341" s="28"/>
      <c r="F341" s="28"/>
      <c r="G341" s="28"/>
      <c r="H341" s="28"/>
      <c r="I341" s="28"/>
      <c r="J341" s="77"/>
    </row>
    <row r="342" spans="1:10">
      <c r="A342" s="31"/>
      <c r="B342" s="28"/>
      <c r="C342" s="28"/>
      <c r="D342" s="28"/>
      <c r="E342" s="28"/>
      <c r="F342" s="28"/>
      <c r="G342" s="28"/>
      <c r="H342" s="28"/>
      <c r="I342" s="28"/>
      <c r="J342" s="77"/>
    </row>
    <row r="343" spans="1:10">
      <c r="A343" s="31"/>
      <c r="B343" s="52"/>
      <c r="C343" s="28"/>
      <c r="D343" s="28"/>
      <c r="E343" s="28"/>
      <c r="F343" s="28"/>
      <c r="G343" s="81">
        <f>1440*E316*H293*(G293/(C330^2+D340^2)^0.5-E311)</f>
        <v>48.976299750882177</v>
      </c>
      <c r="H343" s="28" t="str">
        <f>H332</f>
        <v>м3/сут</v>
      </c>
      <c r="I343" s="28"/>
      <c r="J343" s="77"/>
    </row>
    <row r="344" spans="1:10">
      <c r="A344" s="31"/>
      <c r="B344" s="28"/>
      <c r="C344" s="28"/>
      <c r="D344" s="28"/>
      <c r="E344" s="28"/>
      <c r="F344" s="28"/>
      <c r="G344" s="28"/>
      <c r="H344" s="28"/>
      <c r="I344" s="28"/>
      <c r="J344" s="77"/>
    </row>
    <row r="345" spans="1:10">
      <c r="A345" s="31"/>
      <c r="B345" s="28"/>
      <c r="C345" s="28"/>
      <c r="D345" s="28"/>
      <c r="E345" s="28"/>
      <c r="F345" s="28"/>
      <c r="G345" s="28"/>
      <c r="H345" s="28"/>
      <c r="I345" s="28"/>
      <c r="J345" s="77"/>
    </row>
    <row r="346" spans="1:10">
      <c r="A346" s="149" t="s">
        <v>36</v>
      </c>
      <c r="B346" s="150"/>
      <c r="C346" s="150"/>
      <c r="D346" s="150"/>
      <c r="E346" s="150"/>
      <c r="F346" s="150"/>
      <c r="G346" s="84">
        <v>4</v>
      </c>
      <c r="H346" s="28" t="s">
        <v>37</v>
      </c>
      <c r="I346" s="28"/>
      <c r="J346" s="77"/>
    </row>
    <row r="347" spans="1:10">
      <c r="A347" s="31"/>
      <c r="B347" s="28"/>
      <c r="C347" s="28"/>
      <c r="D347" s="28"/>
      <c r="E347" s="28"/>
      <c r="F347" s="28"/>
      <c r="G347" s="28"/>
      <c r="H347" s="28"/>
      <c r="I347" s="28"/>
      <c r="J347" s="77"/>
    </row>
    <row r="348" spans="1:10">
      <c r="A348" s="54"/>
      <c r="B348" s="28"/>
      <c r="C348" s="81">
        <f>G346*10^3*B293/(2.1*10^11*E314)</f>
        <v>0.10420859369112197</v>
      </c>
      <c r="D348" s="28" t="s">
        <v>20</v>
      </c>
      <c r="E348" s="28"/>
      <c r="F348" s="28"/>
      <c r="G348" s="28"/>
      <c r="H348" s="28"/>
      <c r="I348" s="28"/>
      <c r="J348" s="77"/>
    </row>
    <row r="349" spans="1:10">
      <c r="A349" s="31"/>
      <c r="B349" s="28"/>
      <c r="C349" s="28"/>
      <c r="D349" s="28"/>
      <c r="E349" s="28"/>
      <c r="F349" s="28"/>
      <c r="G349" s="28"/>
      <c r="H349" s="28"/>
      <c r="I349" s="28"/>
      <c r="J349" s="77"/>
    </row>
    <row r="350" spans="1:10">
      <c r="A350" s="31"/>
      <c r="B350" s="52"/>
      <c r="C350" s="28"/>
      <c r="D350" s="28"/>
      <c r="E350" s="28"/>
      <c r="F350" s="28"/>
      <c r="G350" s="28"/>
      <c r="H350" s="28"/>
      <c r="I350" s="28"/>
      <c r="J350" s="77"/>
    </row>
    <row r="351" spans="1:10">
      <c r="A351" s="31"/>
      <c r="B351" s="28"/>
      <c r="C351" s="81">
        <f>G346*1000*D354^2*E356/(8*2.1*10^11*H354)</f>
        <v>0.13051416254400466</v>
      </c>
      <c r="D351" s="28" t="str">
        <f>D348</f>
        <v>м</v>
      </c>
      <c r="E351" s="28"/>
      <c r="F351" s="28"/>
      <c r="G351" s="28"/>
      <c r="H351" s="28"/>
      <c r="I351" s="28"/>
      <c r="J351" s="77"/>
    </row>
    <row r="352" spans="1:10">
      <c r="A352" s="31"/>
      <c r="B352" s="28"/>
      <c r="C352" s="28"/>
      <c r="D352" s="28"/>
      <c r="E352" s="28"/>
      <c r="F352" s="28"/>
      <c r="G352" s="28"/>
      <c r="H352" s="28"/>
      <c r="I352" s="28"/>
      <c r="J352" s="77"/>
    </row>
    <row r="353" spans="1:10">
      <c r="A353" s="31"/>
      <c r="B353" s="28"/>
      <c r="C353" s="28"/>
      <c r="D353" s="28"/>
      <c r="E353" s="28"/>
      <c r="F353" s="28"/>
      <c r="G353" s="28"/>
      <c r="H353" s="28"/>
      <c r="I353" s="28"/>
      <c r="J353" s="77"/>
    </row>
    <row r="354" spans="1:10">
      <c r="A354" s="31"/>
      <c r="B354" s="52"/>
      <c r="C354" s="28"/>
      <c r="D354" s="28">
        <f>(H296-E293)/2*10^-3</f>
        <v>0.03</v>
      </c>
      <c r="E354" s="28" t="str">
        <f>D348</f>
        <v>м</v>
      </c>
      <c r="F354" s="28"/>
      <c r="G354" s="28"/>
      <c r="H354" s="85">
        <f>PI()/4*(E293/2000)^4</f>
        <v>3.2169908772759481E-9</v>
      </c>
      <c r="I354" s="28"/>
      <c r="J354" s="77"/>
    </row>
    <row r="355" spans="1:10">
      <c r="A355" s="31"/>
      <c r="B355" s="28"/>
      <c r="C355" s="28"/>
      <c r="D355" s="28"/>
      <c r="E355" s="28"/>
      <c r="F355" s="28"/>
      <c r="G355" s="28"/>
      <c r="H355" s="28"/>
      <c r="I355" s="28"/>
      <c r="J355" s="77"/>
    </row>
    <row r="356" spans="1:10">
      <c r="A356" s="31"/>
      <c r="B356" s="52"/>
      <c r="C356" s="28"/>
      <c r="D356" s="28"/>
      <c r="E356" s="81">
        <f>G346*10^3/(2.35*(1-E299/7850)*9.81)</f>
        <v>195.93600612104083</v>
      </c>
      <c r="F356" s="28" t="str">
        <f>D348</f>
        <v>м</v>
      </c>
      <c r="G356" s="28"/>
      <c r="H356" s="28"/>
      <c r="I356" s="28"/>
      <c r="J356" s="77"/>
    </row>
    <row r="357" spans="1:10">
      <c r="A357" s="31"/>
      <c r="B357" s="28"/>
      <c r="C357" s="28"/>
      <c r="D357" s="28"/>
      <c r="E357" s="28"/>
      <c r="F357" s="28"/>
      <c r="G357" s="28"/>
      <c r="H357" s="28"/>
      <c r="I357" s="28"/>
      <c r="J357" s="77"/>
    </row>
    <row r="358" spans="1:10">
      <c r="A358" s="31"/>
      <c r="B358" s="28"/>
      <c r="C358" s="28"/>
      <c r="D358" s="28"/>
      <c r="E358" s="28"/>
      <c r="F358" s="28"/>
      <c r="G358" s="28"/>
      <c r="H358" s="28"/>
      <c r="I358" s="28"/>
      <c r="J358" s="77"/>
    </row>
    <row r="359" spans="1:10">
      <c r="A359" s="31"/>
      <c r="B359" s="28"/>
      <c r="C359" s="28"/>
      <c r="D359" s="28"/>
      <c r="E359" s="28"/>
      <c r="F359" s="28"/>
      <c r="G359" s="28"/>
      <c r="H359" s="28"/>
      <c r="I359" s="28"/>
      <c r="J359" s="77"/>
    </row>
    <row r="360" spans="1:10" ht="18.75">
      <c r="A360" s="54"/>
      <c r="B360" s="86" t="s">
        <v>41</v>
      </c>
      <c r="C360" s="81">
        <f>E311+C348+C351</f>
        <v>0.6378488374835749</v>
      </c>
      <c r="D360" s="28" t="str">
        <f>D348</f>
        <v>м</v>
      </c>
      <c r="E360" s="28"/>
      <c r="F360" s="28"/>
      <c r="G360" s="28"/>
      <c r="H360" s="28"/>
      <c r="I360" s="28"/>
      <c r="J360" s="77"/>
    </row>
    <row r="361" spans="1:10">
      <c r="A361" s="31"/>
      <c r="B361" s="28"/>
      <c r="C361" s="28"/>
      <c r="D361" s="28"/>
      <c r="E361" s="28"/>
      <c r="F361" s="28"/>
      <c r="G361" s="28"/>
      <c r="H361" s="28"/>
      <c r="I361" s="28"/>
      <c r="J361" s="77"/>
    </row>
    <row r="362" spans="1:10">
      <c r="A362" s="54"/>
      <c r="B362" s="28"/>
      <c r="C362" s="28"/>
      <c r="D362" s="28"/>
      <c r="E362" s="28"/>
      <c r="F362" s="28"/>
      <c r="G362" s="81">
        <f>1440*E316*H293*(G293/C330-C360)</f>
        <v>45.164211549857448</v>
      </c>
      <c r="H362" s="28" t="str">
        <f>H343</f>
        <v>м3/сут</v>
      </c>
      <c r="I362" s="28"/>
      <c r="J362" s="77"/>
    </row>
    <row r="363" spans="1:10">
      <c r="A363" s="31"/>
      <c r="B363" s="28"/>
      <c r="C363" s="28"/>
      <c r="D363" s="28"/>
      <c r="E363" s="28"/>
      <c r="F363" s="28"/>
      <c r="G363" s="28"/>
      <c r="H363" s="28"/>
      <c r="I363" s="28"/>
      <c r="J363" s="77"/>
    </row>
    <row r="364" spans="1:10">
      <c r="A364" s="141" t="s">
        <v>42</v>
      </c>
      <c r="B364" s="142"/>
      <c r="C364" s="142"/>
      <c r="D364" s="142"/>
      <c r="E364" s="142"/>
      <c r="F364" s="28"/>
      <c r="G364" s="28"/>
      <c r="H364" s="28"/>
      <c r="I364" s="28"/>
      <c r="J364" s="77"/>
    </row>
    <row r="365" spans="1:10">
      <c r="A365" s="31"/>
      <c r="B365" s="28"/>
      <c r="C365" s="28"/>
      <c r="D365" s="28"/>
      <c r="E365" s="28"/>
      <c r="F365" s="28"/>
      <c r="G365" s="28"/>
      <c r="H365" s="28"/>
      <c r="I365" s="28"/>
      <c r="J365" s="77"/>
    </row>
    <row r="366" spans="1:10">
      <c r="A366" s="54"/>
      <c r="B366" s="28"/>
      <c r="C366" s="28"/>
      <c r="D366" s="81">
        <f>1440*E316*H293*G293</f>
        <v>55.372455475112254</v>
      </c>
      <c r="E366" s="28" t="str">
        <f>H362</f>
        <v>м3/сут</v>
      </c>
      <c r="F366" s="28"/>
      <c r="G366" s="28"/>
      <c r="H366" s="28"/>
      <c r="I366" s="28"/>
      <c r="J366" s="77"/>
    </row>
    <row r="367" spans="1:10">
      <c r="A367" s="31"/>
      <c r="B367" s="28"/>
      <c r="C367" s="28"/>
      <c r="D367" s="28"/>
      <c r="E367" s="28"/>
      <c r="F367" s="28"/>
      <c r="G367" s="28"/>
      <c r="H367" s="28"/>
      <c r="I367" s="28"/>
      <c r="J367" s="77"/>
    </row>
    <row r="368" spans="1:10">
      <c r="A368" s="31"/>
      <c r="B368" s="142" t="s">
        <v>43</v>
      </c>
      <c r="C368" s="142"/>
      <c r="D368" s="142"/>
      <c r="E368" s="142"/>
      <c r="F368" s="28"/>
      <c r="G368" s="28"/>
      <c r="H368" s="81">
        <f>G332/D366</f>
        <v>0.89388492734706249</v>
      </c>
      <c r="I368" s="28"/>
      <c r="J368" s="77"/>
    </row>
    <row r="369" spans="1:10">
      <c r="A369" s="31"/>
      <c r="B369" s="28"/>
      <c r="C369" s="28"/>
      <c r="D369" s="28"/>
      <c r="E369" s="28"/>
      <c r="F369" s="28"/>
      <c r="G369" s="28"/>
      <c r="H369" s="28"/>
      <c r="I369" s="28"/>
      <c r="J369" s="77"/>
    </row>
    <row r="370" spans="1:10">
      <c r="A370" s="31"/>
      <c r="B370" s="28"/>
      <c r="C370" s="28"/>
      <c r="D370" s="28"/>
      <c r="E370" s="28"/>
      <c r="F370" s="28"/>
      <c r="G370" s="28"/>
      <c r="H370" s="28"/>
      <c r="I370" s="28"/>
      <c r="J370" s="77"/>
    </row>
    <row r="371" spans="1:10">
      <c r="A371" s="31"/>
      <c r="B371" s="142" t="s">
        <v>44</v>
      </c>
      <c r="C371" s="142"/>
      <c r="D371" s="142"/>
      <c r="E371" s="142"/>
      <c r="F371" s="28"/>
      <c r="G371" s="28"/>
      <c r="H371" s="81">
        <f>G343/D366</f>
        <v>0.88448849397504326</v>
      </c>
      <c r="I371" s="28"/>
      <c r="J371" s="77"/>
    </row>
    <row r="372" spans="1:10">
      <c r="A372" s="31"/>
      <c r="B372" s="28"/>
      <c r="C372" s="28"/>
      <c r="D372" s="28"/>
      <c r="E372" s="28"/>
      <c r="F372" s="28"/>
      <c r="G372" s="28"/>
      <c r="H372" s="81"/>
      <c r="I372" s="28"/>
      <c r="J372" s="77"/>
    </row>
    <row r="373" spans="1:10">
      <c r="A373" s="31"/>
      <c r="B373" s="28"/>
      <c r="C373" s="28"/>
      <c r="D373" s="28"/>
      <c r="E373" s="28"/>
      <c r="F373" s="28"/>
      <c r="G373" s="28"/>
      <c r="H373" s="81"/>
      <c r="I373" s="28"/>
      <c r="J373" s="77"/>
    </row>
    <row r="374" spans="1:10">
      <c r="A374" s="31"/>
      <c r="B374" s="142" t="s">
        <v>45</v>
      </c>
      <c r="C374" s="142"/>
      <c r="D374" s="142"/>
      <c r="E374" s="142"/>
      <c r="F374" s="28"/>
      <c r="G374" s="28"/>
      <c r="H374" s="81">
        <f>G362/D366</f>
        <v>0.81564400860202035</v>
      </c>
      <c r="I374" s="28"/>
      <c r="J374" s="77"/>
    </row>
    <row r="375" spans="1:10" ht="16.5" thickBot="1">
      <c r="A375" s="74"/>
      <c r="B375" s="75"/>
      <c r="C375" s="75"/>
      <c r="D375" s="75"/>
      <c r="E375" s="75"/>
      <c r="F375" s="75"/>
      <c r="G375" s="75"/>
      <c r="H375" s="75"/>
      <c r="I375" s="75"/>
      <c r="J375" s="87"/>
    </row>
    <row r="376" spans="1:10">
      <c r="A376" s="158" t="s">
        <v>0</v>
      </c>
      <c r="B376" s="159"/>
      <c r="C376" s="159"/>
      <c r="D376" s="159"/>
      <c r="E376" s="159"/>
      <c r="F376" s="159"/>
      <c r="G376" s="159"/>
      <c r="H376" s="159"/>
      <c r="I376" s="159"/>
      <c r="J376" s="88"/>
    </row>
    <row r="377" spans="1:10" ht="16.5" thickBot="1">
      <c r="A377" s="31"/>
      <c r="B377" s="28" t="s">
        <v>110</v>
      </c>
      <c r="C377" s="28"/>
      <c r="D377" s="28"/>
      <c r="E377" s="28"/>
      <c r="F377" s="28"/>
      <c r="G377" s="28"/>
      <c r="H377" s="28"/>
      <c r="I377" s="28"/>
      <c r="J377" s="77"/>
    </row>
    <row r="378" spans="1:10" ht="63.75" thickBot="1">
      <c r="A378" s="33" t="s">
        <v>1</v>
      </c>
      <c r="B378" s="33" t="s">
        <v>2</v>
      </c>
      <c r="C378" s="33" t="s">
        <v>3</v>
      </c>
      <c r="D378" s="33" t="s">
        <v>4</v>
      </c>
      <c r="E378" s="33" t="s">
        <v>48</v>
      </c>
      <c r="F378" s="33" t="s">
        <v>49</v>
      </c>
      <c r="G378" s="33" t="s">
        <v>61</v>
      </c>
      <c r="H378" s="33" t="s">
        <v>62</v>
      </c>
      <c r="I378" s="33" t="s">
        <v>63</v>
      </c>
      <c r="J378" s="77"/>
    </row>
    <row r="379" spans="1:10" ht="16.5" thickBot="1">
      <c r="A379" s="33">
        <v>40</v>
      </c>
      <c r="B379" s="33">
        <v>700</v>
      </c>
      <c r="C379" s="33">
        <v>600</v>
      </c>
      <c r="D379" s="33">
        <v>855</v>
      </c>
      <c r="E379" s="33">
        <v>0.3</v>
      </c>
      <c r="F379" s="33">
        <v>19</v>
      </c>
      <c r="G379" s="78">
        <v>2500</v>
      </c>
      <c r="H379" s="78">
        <v>10.199999999999999</v>
      </c>
      <c r="I379" s="78">
        <v>3</v>
      </c>
      <c r="J379" s="77"/>
    </row>
    <row r="380" spans="1:10">
      <c r="A380" s="31"/>
      <c r="B380" s="28"/>
      <c r="C380" s="28"/>
      <c r="D380" s="28"/>
      <c r="E380" s="28"/>
      <c r="F380" s="28"/>
      <c r="G380" s="28"/>
      <c r="H380" s="28"/>
      <c r="I380" s="28"/>
      <c r="J380" s="77"/>
    </row>
    <row r="381" spans="1:10">
      <c r="A381" s="31"/>
      <c r="B381" s="155" t="s">
        <v>50</v>
      </c>
      <c r="C381" s="155"/>
      <c r="D381" s="155"/>
      <c r="E381" s="28" t="s">
        <v>51</v>
      </c>
      <c r="F381" s="28">
        <v>1.57</v>
      </c>
      <c r="G381" s="28" t="s">
        <v>52</v>
      </c>
      <c r="H381" s="28"/>
      <c r="I381" s="28"/>
      <c r="J381" s="77"/>
    </row>
    <row r="382" spans="1:10">
      <c r="A382" s="31"/>
      <c r="B382" s="28"/>
      <c r="C382" s="28"/>
      <c r="D382" s="28"/>
      <c r="E382" s="28"/>
      <c r="F382" s="28"/>
      <c r="G382" s="28"/>
      <c r="H382" s="28"/>
      <c r="I382" s="28"/>
      <c r="J382" s="77"/>
    </row>
    <row r="383" spans="1:10">
      <c r="A383" s="31"/>
      <c r="B383" s="28"/>
      <c r="C383" s="81">
        <f>F381/5100*B379</f>
        <v>0.21549019607843137</v>
      </c>
      <c r="D383" s="28"/>
      <c r="E383" s="28"/>
      <c r="F383" s="28"/>
      <c r="G383" s="28"/>
      <c r="H383" s="28"/>
      <c r="I383" s="28"/>
      <c r="J383" s="77"/>
    </row>
    <row r="384" spans="1:10">
      <c r="A384" s="31"/>
      <c r="B384" s="28"/>
      <c r="C384" s="28"/>
      <c r="D384" s="28"/>
      <c r="E384" s="28"/>
      <c r="F384" s="28"/>
      <c r="G384" s="28"/>
      <c r="H384" s="28"/>
      <c r="I384" s="28"/>
      <c r="J384" s="77"/>
    </row>
    <row r="385" spans="1:10">
      <c r="A385" s="31"/>
      <c r="B385" s="148" t="s">
        <v>53</v>
      </c>
      <c r="C385" s="148"/>
      <c r="D385" s="148"/>
      <c r="E385" s="148"/>
      <c r="F385" s="148"/>
      <c r="G385" s="28"/>
      <c r="H385" s="28"/>
      <c r="I385" s="28"/>
      <c r="J385" s="77"/>
    </row>
    <row r="386" spans="1:10">
      <c r="A386" s="31"/>
      <c r="B386" s="28"/>
      <c r="C386" s="28"/>
      <c r="D386" s="28"/>
      <c r="E386" s="28"/>
      <c r="F386" s="28"/>
      <c r="G386" s="28"/>
      <c r="H386" s="28"/>
      <c r="I386" s="28"/>
      <c r="J386" s="77"/>
    </row>
    <row r="387" spans="1:10">
      <c r="A387" s="31"/>
      <c r="B387" s="52"/>
      <c r="C387" s="28"/>
      <c r="D387" s="28"/>
      <c r="E387" s="28"/>
      <c r="F387" s="28"/>
      <c r="G387" s="28"/>
      <c r="H387" s="28"/>
      <c r="I387" s="28"/>
      <c r="J387" s="77"/>
    </row>
    <row r="388" spans="1:10">
      <c r="A388" s="160" t="s">
        <v>54</v>
      </c>
      <c r="B388" s="161"/>
      <c r="C388" s="161"/>
      <c r="D388" s="161"/>
      <c r="E388" s="161"/>
      <c r="F388" s="161"/>
      <c r="G388" s="161"/>
      <c r="H388" s="161"/>
      <c r="I388" s="28"/>
      <c r="J388" s="77"/>
    </row>
    <row r="389" spans="1:10">
      <c r="A389" s="160"/>
      <c r="B389" s="161"/>
      <c r="C389" s="161"/>
      <c r="D389" s="161"/>
      <c r="E389" s="161"/>
      <c r="F389" s="161"/>
      <c r="G389" s="161"/>
      <c r="H389" s="161"/>
      <c r="I389" s="28"/>
      <c r="J389" s="77"/>
    </row>
    <row r="390" spans="1:10">
      <c r="A390" s="31"/>
      <c r="B390" s="52"/>
      <c r="C390" s="28"/>
      <c r="D390" s="28"/>
      <c r="E390" s="28"/>
      <c r="F390" s="28"/>
      <c r="G390" s="28"/>
      <c r="H390" s="28"/>
      <c r="I390" s="28"/>
      <c r="J390" s="77"/>
    </row>
    <row r="391" spans="1:10">
      <c r="A391" s="31"/>
      <c r="B391" s="28"/>
      <c r="C391" s="28"/>
      <c r="D391" s="28">
        <f>D379*9.81*B379</f>
        <v>5871285.0000000009</v>
      </c>
      <c r="E391" s="28" t="s">
        <v>55</v>
      </c>
      <c r="F391" s="81">
        <f>D391/10^6</f>
        <v>5.8712850000000012</v>
      </c>
      <c r="G391" s="28" t="s">
        <v>57</v>
      </c>
      <c r="H391" s="28"/>
      <c r="I391" s="28"/>
      <c r="J391" s="77"/>
    </row>
    <row r="392" spans="1:10">
      <c r="A392" s="31"/>
      <c r="B392" s="28"/>
      <c r="C392" s="28"/>
      <c r="D392" s="28"/>
      <c r="E392" s="28"/>
      <c r="F392" s="28"/>
      <c r="G392" s="28"/>
      <c r="H392" s="28"/>
      <c r="I392" s="28"/>
      <c r="J392" s="77"/>
    </row>
    <row r="393" spans="1:10">
      <c r="A393" s="31"/>
      <c r="B393" s="148" t="s">
        <v>56</v>
      </c>
      <c r="C393" s="148"/>
      <c r="D393" s="148"/>
      <c r="E393" s="148"/>
      <c r="F393" s="28"/>
      <c r="G393" s="28"/>
      <c r="H393" s="28"/>
      <c r="I393" s="28"/>
      <c r="J393" s="77"/>
    </row>
    <row r="394" spans="1:10">
      <c r="A394" s="31"/>
      <c r="B394" s="28"/>
      <c r="C394" s="28"/>
      <c r="D394" s="28"/>
      <c r="E394" s="28"/>
      <c r="F394" s="28"/>
      <c r="G394" s="28"/>
      <c r="H394" s="28"/>
      <c r="I394" s="28"/>
      <c r="J394" s="77"/>
    </row>
    <row r="395" spans="1:10">
      <c r="A395" s="31"/>
      <c r="B395" s="52"/>
      <c r="C395" s="28"/>
      <c r="D395" s="28">
        <f>(B379-C379)*9.81*D379</f>
        <v>838755</v>
      </c>
      <c r="E395" s="28" t="str">
        <f>E391</f>
        <v>Па</v>
      </c>
      <c r="F395" s="81">
        <f>D395/10^6</f>
        <v>0.83875500000000003</v>
      </c>
      <c r="G395" s="28" t="str">
        <f>G391</f>
        <v>МПа</v>
      </c>
      <c r="H395" s="28"/>
      <c r="I395" s="28"/>
      <c r="J395" s="77"/>
    </row>
    <row r="396" spans="1:10">
      <c r="A396" s="31"/>
      <c r="B396" s="28"/>
      <c r="C396" s="28"/>
      <c r="D396" s="28"/>
      <c r="E396" s="28"/>
      <c r="F396" s="28"/>
      <c r="G396" s="28"/>
      <c r="H396" s="28"/>
      <c r="I396" s="28"/>
      <c r="J396" s="77"/>
    </row>
    <row r="397" spans="1:10">
      <c r="A397" s="31"/>
      <c r="B397" s="148" t="s">
        <v>58</v>
      </c>
      <c r="C397" s="148"/>
      <c r="D397" s="148"/>
      <c r="E397" s="148"/>
      <c r="F397" s="28"/>
      <c r="G397" s="28"/>
      <c r="H397" s="28"/>
      <c r="I397" s="28"/>
      <c r="J397" s="77"/>
    </row>
    <row r="398" spans="1:10">
      <c r="A398" s="31"/>
      <c r="B398" s="28"/>
      <c r="C398" s="28"/>
      <c r="D398" s="28"/>
      <c r="E398" s="28"/>
      <c r="F398" s="28"/>
      <c r="G398" s="28"/>
      <c r="H398" s="28"/>
      <c r="I398" s="28"/>
      <c r="J398" s="77"/>
    </row>
    <row r="399" spans="1:10">
      <c r="A399" s="31"/>
      <c r="B399" s="28"/>
      <c r="C399" s="89" t="s">
        <v>59</v>
      </c>
      <c r="D399" s="90">
        <f>F399*10^6</f>
        <v>5332530.0000000009</v>
      </c>
      <c r="E399" s="28" t="str">
        <f>E395</f>
        <v>Па</v>
      </c>
      <c r="F399" s="81">
        <f>F391+E379-F395</f>
        <v>5.3325300000000011</v>
      </c>
      <c r="G399" s="28" t="str">
        <f>G395</f>
        <v>МПа</v>
      </c>
      <c r="H399" s="28"/>
      <c r="I399" s="28"/>
      <c r="J399" s="77"/>
    </row>
    <row r="400" spans="1:10">
      <c r="A400" s="31"/>
      <c r="B400" s="28"/>
      <c r="C400" s="28"/>
      <c r="D400" s="28"/>
      <c r="E400" s="28"/>
      <c r="F400" s="28"/>
      <c r="G400" s="28"/>
      <c r="H400" s="28"/>
      <c r="I400" s="28"/>
      <c r="J400" s="77"/>
    </row>
    <row r="401" spans="1:10">
      <c r="A401" s="162" t="s">
        <v>60</v>
      </c>
      <c r="B401" s="163"/>
      <c r="C401" s="163"/>
      <c r="D401" s="163"/>
      <c r="E401" s="163"/>
      <c r="F401" s="163"/>
      <c r="G401" s="163"/>
      <c r="H401" s="163"/>
      <c r="I401" s="28"/>
      <c r="J401" s="77"/>
    </row>
    <row r="402" spans="1:10">
      <c r="A402" s="162"/>
      <c r="B402" s="163"/>
      <c r="C402" s="163"/>
      <c r="D402" s="163"/>
      <c r="E402" s="163"/>
      <c r="F402" s="163"/>
      <c r="G402" s="163"/>
      <c r="H402" s="163"/>
      <c r="I402" s="28"/>
      <c r="J402" s="77"/>
    </row>
    <row r="403" spans="1:10">
      <c r="A403" s="31"/>
      <c r="B403" s="28"/>
      <c r="C403" s="28"/>
      <c r="D403" s="28"/>
      <c r="E403" s="28"/>
      <c r="F403" s="28"/>
      <c r="G403" s="28"/>
      <c r="H403" s="28"/>
      <c r="I403" s="28"/>
      <c r="J403" s="77"/>
    </row>
    <row r="404" spans="1:10">
      <c r="A404" s="31"/>
      <c r="B404" s="52"/>
      <c r="C404" s="28"/>
      <c r="D404" s="81">
        <f>(1+1000/2500)/(SQRT(1-(1000/2100)^2))</f>
        <v>1.5920992615572138</v>
      </c>
      <c r="E404" s="28"/>
      <c r="F404" s="28"/>
      <c r="G404" s="28"/>
      <c r="H404" s="28"/>
      <c r="I404" s="28"/>
      <c r="J404" s="77"/>
    </row>
    <row r="405" spans="1:10">
      <c r="A405" s="31"/>
      <c r="B405" s="28"/>
      <c r="C405" s="28"/>
      <c r="D405" s="28"/>
      <c r="E405" s="28"/>
      <c r="F405" s="28"/>
      <c r="G405" s="28"/>
      <c r="H405" s="28"/>
      <c r="I405" s="28"/>
      <c r="J405" s="77"/>
    </row>
    <row r="406" spans="1:10">
      <c r="A406" s="31"/>
      <c r="B406" s="28"/>
      <c r="C406" s="28"/>
      <c r="D406" s="28"/>
      <c r="E406" s="28"/>
      <c r="F406" s="28"/>
      <c r="G406" s="28"/>
      <c r="H406" s="28"/>
      <c r="I406" s="28"/>
      <c r="J406" s="77"/>
    </row>
    <row r="407" spans="1:10">
      <c r="A407" s="54"/>
      <c r="B407" s="28"/>
      <c r="C407" s="28"/>
      <c r="D407" s="81">
        <f>PI()/30*H379</f>
        <v>1.0681415022205296</v>
      </c>
      <c r="E407" s="28"/>
      <c r="F407" s="28"/>
      <c r="G407" s="28"/>
      <c r="H407" s="28"/>
      <c r="I407" s="28"/>
      <c r="J407" s="77"/>
    </row>
    <row r="408" spans="1:10">
      <c r="A408" s="31"/>
      <c r="B408" s="28"/>
      <c r="C408" s="28"/>
      <c r="D408" s="28"/>
      <c r="E408" s="28"/>
      <c r="F408" s="28"/>
      <c r="G408" s="28"/>
      <c r="H408" s="28"/>
      <c r="I408" s="28"/>
      <c r="J408" s="77"/>
    </row>
    <row r="409" spans="1:10">
      <c r="A409" s="31"/>
      <c r="B409" s="148" t="s">
        <v>64</v>
      </c>
      <c r="C409" s="148"/>
      <c r="D409" s="148"/>
      <c r="E409" s="148"/>
      <c r="F409" s="28"/>
      <c r="G409" s="28"/>
      <c r="H409" s="28"/>
      <c r="I409" s="28"/>
      <c r="J409" s="77"/>
    </row>
    <row r="410" spans="1:10">
      <c r="A410" s="31"/>
      <c r="B410" s="28"/>
      <c r="C410" s="28"/>
      <c r="D410" s="28"/>
      <c r="E410" s="28"/>
      <c r="F410" s="28"/>
      <c r="G410" s="28"/>
      <c r="H410" s="28"/>
      <c r="I410" s="28"/>
      <c r="J410" s="77"/>
    </row>
    <row r="411" spans="1:10">
      <c r="A411" s="31"/>
      <c r="B411" s="52"/>
      <c r="C411" s="28"/>
      <c r="D411" s="28"/>
      <c r="E411" s="28"/>
      <c r="F411" s="28">
        <f>11500/2*A379^2/F379^2*D399/(9.81*D379)+D404*7850*D407^2*I379/2*B379</f>
        <v>31174616.311017185</v>
      </c>
      <c r="G411" s="28" t="str">
        <f>E399</f>
        <v>Па</v>
      </c>
      <c r="H411" s="81">
        <f>F411/10^6</f>
        <v>31.174616311017186</v>
      </c>
      <c r="I411" s="28" t="str">
        <f>G399</f>
        <v>МПа</v>
      </c>
      <c r="J411" s="77"/>
    </row>
    <row r="412" spans="1:10">
      <c r="A412" s="31"/>
      <c r="B412" s="28"/>
      <c r="C412" s="28"/>
      <c r="D412" s="28"/>
      <c r="E412" s="28"/>
      <c r="F412" s="28"/>
      <c r="G412" s="28"/>
      <c r="H412" s="81"/>
      <c r="I412" s="28"/>
      <c r="J412" s="77"/>
    </row>
    <row r="413" spans="1:10">
      <c r="A413" s="31"/>
      <c r="B413" s="148" t="s">
        <v>65</v>
      </c>
      <c r="C413" s="148"/>
      <c r="D413" s="148"/>
      <c r="E413" s="148"/>
      <c r="F413" s="28"/>
      <c r="G413" s="28"/>
      <c r="H413" s="81"/>
      <c r="I413" s="28"/>
      <c r="J413" s="77"/>
    </row>
    <row r="414" spans="1:10">
      <c r="A414" s="31"/>
      <c r="B414" s="28"/>
      <c r="C414" s="28"/>
      <c r="D414" s="28"/>
      <c r="E414" s="28"/>
      <c r="F414" s="28"/>
      <c r="G414" s="28"/>
      <c r="H414" s="81"/>
      <c r="I414" s="28"/>
      <c r="J414" s="77"/>
    </row>
    <row r="415" spans="1:10">
      <c r="A415" s="31"/>
      <c r="B415" s="52"/>
      <c r="C415" s="28"/>
      <c r="D415" s="28"/>
      <c r="E415" s="28"/>
      <c r="F415" s="28">
        <f>(A379^2/(2*F379^2)-1)*D399+7850*9.81*B379</f>
        <v>60390660.997229919</v>
      </c>
      <c r="G415" s="28" t="str">
        <f>G411</f>
        <v>Па</v>
      </c>
      <c r="H415" s="81">
        <f>F415/10^6</f>
        <v>60.390660997229922</v>
      </c>
      <c r="I415" s="28" t="str">
        <f>I411</f>
        <v>МПа</v>
      </c>
      <c r="J415" s="77"/>
    </row>
    <row r="416" spans="1:10">
      <c r="A416" s="31"/>
      <c r="B416" s="52"/>
      <c r="C416" s="28"/>
      <c r="D416" s="28"/>
      <c r="E416" s="28"/>
      <c r="F416" s="28"/>
      <c r="G416" s="28"/>
      <c r="H416" s="28"/>
      <c r="I416" s="28"/>
      <c r="J416" s="77"/>
    </row>
    <row r="417" spans="1:10">
      <c r="A417" s="31"/>
      <c r="B417" s="148" t="s">
        <v>66</v>
      </c>
      <c r="C417" s="148"/>
      <c r="D417" s="28"/>
      <c r="E417" s="28"/>
      <c r="F417" s="28"/>
      <c r="G417" s="28"/>
      <c r="H417" s="28"/>
      <c r="I417" s="28"/>
      <c r="J417" s="77"/>
    </row>
    <row r="418" spans="1:10">
      <c r="A418" s="31"/>
      <c r="B418" s="28"/>
      <c r="C418" s="52"/>
      <c r="D418" s="28"/>
      <c r="E418" s="28"/>
      <c r="F418" s="28"/>
      <c r="G418" s="28"/>
      <c r="H418" s="28"/>
      <c r="I418" s="28"/>
      <c r="J418" s="77"/>
    </row>
    <row r="419" spans="1:10">
      <c r="A419" s="31"/>
      <c r="B419" s="52"/>
      <c r="C419" s="28"/>
      <c r="D419" s="28"/>
      <c r="E419" s="28"/>
      <c r="F419" s="28">
        <f>B379*(7850-D379)*9.81+1.15*A379^2/(2*F379^2)*D399</f>
        <v>61624492.146814406</v>
      </c>
      <c r="G419" s="28" t="str">
        <f>G415</f>
        <v>Па</v>
      </c>
      <c r="H419" s="81">
        <f>F419/10^6</f>
        <v>61.624492146814404</v>
      </c>
      <c r="I419" s="28" t="str">
        <f>I415</f>
        <v>МПа</v>
      </c>
      <c r="J419" s="77"/>
    </row>
    <row r="420" spans="1:10">
      <c r="A420" s="31"/>
      <c r="B420" s="28"/>
      <c r="C420" s="28"/>
      <c r="D420" s="28"/>
      <c r="E420" s="28"/>
      <c r="F420" s="28"/>
      <c r="G420" s="28"/>
      <c r="H420" s="28"/>
      <c r="I420" s="28"/>
      <c r="J420" s="77"/>
    </row>
    <row r="421" spans="1:10">
      <c r="A421" s="31"/>
      <c r="B421" s="148" t="s">
        <v>67</v>
      </c>
      <c r="C421" s="148"/>
      <c r="D421" s="148"/>
      <c r="E421" s="28"/>
      <c r="F421" s="28"/>
      <c r="G421" s="28"/>
      <c r="H421" s="28"/>
      <c r="I421" s="28"/>
      <c r="J421" s="77"/>
    </row>
    <row r="422" spans="1:10">
      <c r="A422" s="31"/>
      <c r="B422" s="52"/>
      <c r="C422" s="28"/>
      <c r="D422" s="28"/>
      <c r="E422" s="28"/>
      <c r="F422" s="28"/>
      <c r="G422" s="28"/>
      <c r="H422" s="28"/>
      <c r="I422" s="28"/>
      <c r="J422" s="77"/>
    </row>
    <row r="423" spans="1:10">
      <c r="A423" s="31"/>
      <c r="B423" s="28"/>
      <c r="C423" s="52"/>
      <c r="D423" s="28">
        <f>F411+F419</f>
        <v>92799108.457831591</v>
      </c>
      <c r="E423" s="28" t="str">
        <f>G419</f>
        <v>Па</v>
      </c>
      <c r="F423" s="81">
        <f>D423/10^6</f>
        <v>92.799108457831593</v>
      </c>
      <c r="G423" s="28" t="str">
        <f>I419</f>
        <v>МПа</v>
      </c>
      <c r="H423" s="28"/>
      <c r="I423" s="28"/>
      <c r="J423" s="77"/>
    </row>
    <row r="424" spans="1:10">
      <c r="A424" s="31"/>
      <c r="B424" s="28"/>
      <c r="C424" s="28"/>
      <c r="D424" s="28"/>
      <c r="E424" s="28"/>
      <c r="F424" s="81"/>
      <c r="G424" s="28"/>
      <c r="H424" s="28"/>
      <c r="I424" s="28"/>
      <c r="J424" s="77"/>
    </row>
    <row r="425" spans="1:10">
      <c r="A425" s="31"/>
      <c r="B425" s="148" t="s">
        <v>68</v>
      </c>
      <c r="C425" s="148"/>
      <c r="D425" s="148"/>
      <c r="E425" s="28"/>
      <c r="F425" s="81"/>
      <c r="G425" s="28"/>
      <c r="H425" s="28"/>
      <c r="I425" s="28"/>
      <c r="J425" s="77"/>
    </row>
    <row r="426" spans="1:10">
      <c r="A426" s="31"/>
      <c r="B426" s="28"/>
      <c r="C426" s="28"/>
      <c r="D426" s="28"/>
      <c r="E426" s="28"/>
      <c r="F426" s="81"/>
      <c r="G426" s="28"/>
      <c r="H426" s="28"/>
      <c r="I426" s="28"/>
      <c r="J426" s="77"/>
    </row>
    <row r="427" spans="1:10">
      <c r="A427" s="31"/>
      <c r="B427" s="52"/>
      <c r="C427" s="28"/>
      <c r="D427" s="81">
        <f>SQRT(F411*F423)</f>
        <v>53786.397910413834</v>
      </c>
      <c r="E427" s="28" t="str">
        <f>E423</f>
        <v>Па</v>
      </c>
      <c r="F427" s="81">
        <f>SQRT(H411*F423)</f>
        <v>53.786397910413832</v>
      </c>
      <c r="G427" s="28" t="str">
        <f>G423</f>
        <v>МПа</v>
      </c>
      <c r="H427" s="28"/>
      <c r="I427" s="28"/>
      <c r="J427" s="77"/>
    </row>
    <row r="428" spans="1:10">
      <c r="A428" s="31"/>
      <c r="B428" s="28"/>
      <c r="C428" s="28"/>
      <c r="D428" s="28"/>
      <c r="E428" s="28"/>
      <c r="F428" s="28"/>
      <c r="G428" s="28"/>
      <c r="H428" s="28"/>
      <c r="I428" s="28"/>
      <c r="J428" s="77"/>
    </row>
    <row r="429" spans="1:10" ht="19.5" thickBot="1">
      <c r="A429" s="164" t="s">
        <v>69</v>
      </c>
      <c r="B429" s="165"/>
      <c r="C429" s="165"/>
      <c r="D429" s="165"/>
      <c r="E429" s="165"/>
      <c r="F429" s="165"/>
      <c r="G429" s="165"/>
      <c r="H429" s="165"/>
      <c r="I429" s="165"/>
      <c r="J429" s="87"/>
    </row>
    <row r="430" spans="1:10">
      <c r="A430" s="166" t="s">
        <v>0</v>
      </c>
      <c r="B430" s="167"/>
      <c r="C430" s="167"/>
      <c r="D430" s="167"/>
      <c r="E430" s="167"/>
      <c r="F430" s="167"/>
      <c r="G430" s="167"/>
      <c r="H430" s="167"/>
      <c r="I430" s="167"/>
      <c r="J430" s="88"/>
    </row>
    <row r="431" spans="1:10" ht="16.5" thickBot="1">
      <c r="A431" s="31"/>
      <c r="B431" s="28" t="s">
        <v>111</v>
      </c>
      <c r="C431" s="28"/>
      <c r="D431" s="28"/>
      <c r="E431" s="28"/>
      <c r="F431" s="28"/>
      <c r="G431" s="28"/>
      <c r="H431" s="28"/>
      <c r="I431" s="28"/>
      <c r="J431" s="77"/>
    </row>
    <row r="432" spans="1:10" ht="63.75" thickBot="1">
      <c r="A432" s="33" t="s">
        <v>1</v>
      </c>
      <c r="B432" s="33" t="s">
        <v>2</v>
      </c>
      <c r="C432" s="33" t="s">
        <v>3</v>
      </c>
      <c r="D432" s="33" t="s">
        <v>4</v>
      </c>
      <c r="E432" s="33" t="s">
        <v>48</v>
      </c>
      <c r="F432" s="33" t="s">
        <v>49</v>
      </c>
      <c r="G432" s="33" t="s">
        <v>61</v>
      </c>
      <c r="H432" s="33" t="s">
        <v>62</v>
      </c>
      <c r="I432" s="33" t="s">
        <v>63</v>
      </c>
      <c r="J432" s="77"/>
    </row>
    <row r="433" spans="1:10" ht="16.5" thickBot="1">
      <c r="A433" s="33">
        <v>40</v>
      </c>
      <c r="B433" s="33">
        <v>800</v>
      </c>
      <c r="C433" s="33">
        <v>700</v>
      </c>
      <c r="D433" s="33">
        <v>866</v>
      </c>
      <c r="E433" s="91">
        <v>0.3</v>
      </c>
      <c r="F433" s="33">
        <v>19</v>
      </c>
      <c r="G433" s="78">
        <v>2500</v>
      </c>
      <c r="H433" s="92">
        <v>10.199999999999999</v>
      </c>
      <c r="I433" s="78">
        <v>3</v>
      </c>
      <c r="J433" s="77"/>
    </row>
    <row r="434" spans="1:10" ht="16.5" thickBot="1">
      <c r="A434" s="93"/>
      <c r="B434" s="14"/>
      <c r="C434" s="14"/>
      <c r="D434" s="14"/>
      <c r="E434" s="14"/>
      <c r="F434" s="78">
        <v>16</v>
      </c>
      <c r="G434" s="94"/>
      <c r="H434" s="95"/>
      <c r="I434" s="95"/>
      <c r="J434" s="77"/>
    </row>
    <row r="435" spans="1:10">
      <c r="A435" s="31"/>
      <c r="B435" s="28"/>
      <c r="C435" s="28"/>
      <c r="D435" s="28"/>
      <c r="E435" s="28"/>
      <c r="F435" s="28"/>
      <c r="G435" s="28"/>
      <c r="H435" s="28"/>
      <c r="I435" s="28"/>
      <c r="J435" s="77"/>
    </row>
    <row r="436" spans="1:10">
      <c r="A436" s="31"/>
      <c r="B436" s="155" t="s">
        <v>50</v>
      </c>
      <c r="C436" s="155"/>
      <c r="D436" s="155"/>
      <c r="E436" s="28" t="s">
        <v>78</v>
      </c>
      <c r="F436" s="28">
        <v>1.57</v>
      </c>
      <c r="G436" s="28" t="s">
        <v>52</v>
      </c>
      <c r="H436" s="28"/>
      <c r="I436" s="28"/>
      <c r="J436" s="77"/>
    </row>
    <row r="437" spans="1:10">
      <c r="A437" s="31"/>
      <c r="B437" s="28"/>
      <c r="C437" s="28"/>
      <c r="D437" s="28"/>
      <c r="E437" s="28"/>
      <c r="F437" s="28"/>
      <c r="G437" s="28"/>
      <c r="H437" s="28"/>
      <c r="I437" s="28"/>
      <c r="J437" s="77"/>
    </row>
    <row r="438" spans="1:10">
      <c r="A438" s="31"/>
      <c r="B438" s="28"/>
      <c r="C438" s="81">
        <f>F436/5100*B433</f>
        <v>0.24627450980392157</v>
      </c>
      <c r="D438" s="28"/>
      <c r="E438" s="28"/>
      <c r="F438" s="28"/>
      <c r="G438" s="28"/>
      <c r="H438" s="28"/>
      <c r="I438" s="28"/>
      <c r="J438" s="77"/>
    </row>
    <row r="439" spans="1:10">
      <c r="A439" s="31"/>
      <c r="B439" s="28"/>
      <c r="C439" s="28"/>
      <c r="D439" s="28"/>
      <c r="E439" s="28"/>
      <c r="F439" s="28"/>
      <c r="G439" s="28"/>
      <c r="H439" s="28"/>
      <c r="I439" s="28"/>
      <c r="J439" s="77"/>
    </row>
    <row r="440" spans="1:10">
      <c r="A440" s="31"/>
      <c r="B440" s="155" t="s">
        <v>53</v>
      </c>
      <c r="C440" s="155"/>
      <c r="D440" s="155"/>
      <c r="E440" s="155"/>
      <c r="F440" s="155"/>
      <c r="G440" s="28"/>
      <c r="H440" s="28"/>
      <c r="I440" s="28"/>
      <c r="J440" s="77"/>
    </row>
    <row r="441" spans="1:10">
      <c r="A441" s="31"/>
      <c r="B441" s="28"/>
      <c r="C441" s="28"/>
      <c r="D441" s="28"/>
      <c r="E441" s="28"/>
      <c r="F441" s="28"/>
      <c r="G441" s="28"/>
      <c r="H441" s="28"/>
      <c r="I441" s="28"/>
      <c r="J441" s="77"/>
    </row>
    <row r="442" spans="1:10">
      <c r="A442" s="31"/>
      <c r="B442" s="28"/>
      <c r="C442" s="28"/>
      <c r="D442" s="28"/>
      <c r="E442" s="28"/>
      <c r="F442" s="28"/>
      <c r="G442" s="28"/>
      <c r="H442" s="28"/>
      <c r="I442" s="28"/>
      <c r="J442" s="77"/>
    </row>
    <row r="443" spans="1:10">
      <c r="A443" s="168" t="s">
        <v>54</v>
      </c>
      <c r="B443" s="169"/>
      <c r="C443" s="169"/>
      <c r="D443" s="169"/>
      <c r="E443" s="169"/>
      <c r="F443" s="169"/>
      <c r="G443" s="169"/>
      <c r="H443" s="169"/>
      <c r="I443" s="28"/>
      <c r="J443" s="77"/>
    </row>
    <row r="444" spans="1:10">
      <c r="A444" s="168"/>
      <c r="B444" s="169"/>
      <c r="C444" s="169"/>
      <c r="D444" s="169"/>
      <c r="E444" s="169"/>
      <c r="F444" s="169"/>
      <c r="G444" s="169"/>
      <c r="H444" s="169"/>
      <c r="I444" s="28"/>
      <c r="J444" s="77"/>
    </row>
    <row r="445" spans="1:10">
      <c r="A445" s="31"/>
      <c r="B445" s="28"/>
      <c r="C445" s="28"/>
      <c r="D445" s="28"/>
      <c r="E445" s="28"/>
      <c r="F445" s="28"/>
      <c r="G445" s="28"/>
      <c r="H445" s="28"/>
      <c r="I445" s="28"/>
      <c r="J445" s="77"/>
    </row>
    <row r="446" spans="1:10">
      <c r="A446" s="31"/>
      <c r="B446" s="28"/>
      <c r="C446" s="28"/>
      <c r="D446" s="28">
        <f>D433*9.81*B433</f>
        <v>6796368.0000000009</v>
      </c>
      <c r="E446" s="28" t="s">
        <v>55</v>
      </c>
      <c r="F446" s="81">
        <f>D446/10^6</f>
        <v>6.7963680000000011</v>
      </c>
      <c r="G446" s="28" t="s">
        <v>57</v>
      </c>
      <c r="H446" s="28"/>
      <c r="I446" s="28"/>
      <c r="J446" s="77"/>
    </row>
    <row r="447" spans="1:10">
      <c r="A447" s="31"/>
      <c r="B447" s="28"/>
      <c r="C447" s="28"/>
      <c r="D447" s="28"/>
      <c r="E447" s="28"/>
      <c r="F447" s="28"/>
      <c r="G447" s="28"/>
      <c r="H447" s="28"/>
      <c r="I447" s="28"/>
      <c r="J447" s="77"/>
    </row>
    <row r="448" spans="1:10">
      <c r="A448" s="31"/>
      <c r="B448" s="155" t="s">
        <v>56</v>
      </c>
      <c r="C448" s="155"/>
      <c r="D448" s="155"/>
      <c r="E448" s="155"/>
      <c r="F448" s="28"/>
      <c r="G448" s="28"/>
      <c r="H448" s="28"/>
      <c r="I448" s="28"/>
      <c r="J448" s="77"/>
    </row>
    <row r="449" spans="1:10">
      <c r="A449" s="31"/>
      <c r="B449" s="28"/>
      <c r="C449" s="28"/>
      <c r="D449" s="28"/>
      <c r="E449" s="28"/>
      <c r="F449" s="28"/>
      <c r="G449" s="28"/>
      <c r="H449" s="28"/>
      <c r="I449" s="28"/>
      <c r="J449" s="77"/>
    </row>
    <row r="450" spans="1:10">
      <c r="A450" s="31"/>
      <c r="B450" s="28"/>
      <c r="C450" s="28"/>
      <c r="D450" s="28">
        <f>(B433-C433)*9.81*D433</f>
        <v>849546</v>
      </c>
      <c r="E450" s="28" t="str">
        <f>E446</f>
        <v>Па</v>
      </c>
      <c r="F450" s="81">
        <f>D450/10^6</f>
        <v>0.84954600000000002</v>
      </c>
      <c r="G450" s="28" t="str">
        <f>G446</f>
        <v>МПа</v>
      </c>
      <c r="H450" s="28"/>
      <c r="I450" s="28"/>
      <c r="J450" s="77"/>
    </row>
    <row r="451" spans="1:10">
      <c r="A451" s="31"/>
      <c r="B451" s="28"/>
      <c r="C451" s="28"/>
      <c r="D451" s="28"/>
      <c r="E451" s="28"/>
      <c r="F451" s="28"/>
      <c r="G451" s="28"/>
      <c r="H451" s="28"/>
      <c r="I451" s="28"/>
      <c r="J451" s="77"/>
    </row>
    <row r="452" spans="1:10">
      <c r="A452" s="31"/>
      <c r="B452" s="155" t="s">
        <v>58</v>
      </c>
      <c r="C452" s="155"/>
      <c r="D452" s="155"/>
      <c r="E452" s="155"/>
      <c r="F452" s="28"/>
      <c r="G452" s="28"/>
      <c r="H452" s="28"/>
      <c r="I452" s="28"/>
      <c r="J452" s="77"/>
    </row>
    <row r="453" spans="1:10">
      <c r="A453" s="31"/>
      <c r="B453" s="28"/>
      <c r="C453" s="28"/>
      <c r="D453" s="28"/>
      <c r="E453" s="28"/>
      <c r="F453" s="28"/>
      <c r="G453" s="28"/>
      <c r="H453" s="28"/>
      <c r="I453" s="28"/>
      <c r="J453" s="77"/>
    </row>
    <row r="454" spans="1:10">
      <c r="A454" s="31"/>
      <c r="B454" s="28"/>
      <c r="C454" s="28" t="s">
        <v>59</v>
      </c>
      <c r="D454" s="90">
        <f>F454*10^6</f>
        <v>6246822.0000000009</v>
      </c>
      <c r="E454" s="28" t="str">
        <f>E450</f>
        <v>Па</v>
      </c>
      <c r="F454" s="81">
        <f>F446+E433-F450</f>
        <v>6.2468220000000008</v>
      </c>
      <c r="G454" s="28" t="str">
        <f>G450</f>
        <v>МПа</v>
      </c>
      <c r="H454" s="28"/>
      <c r="I454" s="28"/>
      <c r="J454" s="77"/>
    </row>
    <row r="455" spans="1:10">
      <c r="A455" s="31"/>
      <c r="B455" s="28"/>
      <c r="C455" s="28"/>
      <c r="D455" s="28"/>
      <c r="E455" s="28"/>
      <c r="F455" s="28"/>
      <c r="G455" s="28"/>
      <c r="H455" s="28"/>
      <c r="I455" s="28"/>
      <c r="J455" s="77"/>
    </row>
    <row r="456" spans="1:10">
      <c r="A456" s="170" t="s">
        <v>79</v>
      </c>
      <c r="B456" s="171"/>
      <c r="C456" s="171"/>
      <c r="D456" s="171"/>
      <c r="E456" s="171"/>
      <c r="F456" s="171"/>
      <c r="G456" s="171"/>
      <c r="H456" s="171"/>
      <c r="I456" s="28"/>
      <c r="J456" s="77"/>
    </row>
    <row r="457" spans="1:10">
      <c r="A457" s="170"/>
      <c r="B457" s="171"/>
      <c r="C457" s="171"/>
      <c r="D457" s="171"/>
      <c r="E457" s="171"/>
      <c r="F457" s="171"/>
      <c r="G457" s="171"/>
      <c r="H457" s="171"/>
      <c r="I457" s="28"/>
      <c r="J457" s="77"/>
    </row>
    <row r="458" spans="1:10">
      <c r="A458" s="31"/>
      <c r="B458" s="28"/>
      <c r="C458" s="28"/>
      <c r="D458" s="28"/>
      <c r="E458" s="28"/>
      <c r="F458" s="28"/>
      <c r="G458" s="28"/>
      <c r="H458" s="28"/>
      <c r="I458" s="28"/>
      <c r="J458" s="77"/>
    </row>
    <row r="459" spans="1:10">
      <c r="A459" s="31"/>
      <c r="B459" s="28"/>
      <c r="C459" s="28"/>
      <c r="D459" s="81">
        <f>(1+1000/2500)/(SQRT(1-(1000/2100)^2))</f>
        <v>1.5920992615572138</v>
      </c>
      <c r="E459" s="28"/>
      <c r="F459" s="28"/>
      <c r="G459" s="28"/>
      <c r="H459" s="28"/>
      <c r="I459" s="28"/>
      <c r="J459" s="77"/>
    </row>
    <row r="460" spans="1:10">
      <c r="A460" s="31"/>
      <c r="B460" s="28"/>
      <c r="C460" s="28"/>
      <c r="D460" s="28"/>
      <c r="E460" s="28"/>
      <c r="F460" s="28"/>
      <c r="G460" s="28"/>
      <c r="H460" s="28"/>
      <c r="I460" s="28"/>
      <c r="J460" s="77"/>
    </row>
    <row r="461" spans="1:10">
      <c r="A461" s="31"/>
      <c r="B461" s="28"/>
      <c r="C461" s="28"/>
      <c r="D461" s="28"/>
      <c r="E461" s="28"/>
      <c r="F461" s="28"/>
      <c r="G461" s="28"/>
      <c r="H461" s="28"/>
      <c r="I461" s="28"/>
      <c r="J461" s="77"/>
    </row>
    <row r="462" spans="1:10">
      <c r="A462" s="31"/>
      <c r="B462" s="28"/>
      <c r="C462" s="28"/>
      <c r="D462" s="81">
        <f>PI()/30*H433</f>
        <v>1.0681415022205296</v>
      </c>
      <c r="E462" s="28"/>
      <c r="F462" s="28"/>
      <c r="G462" s="28"/>
      <c r="H462" s="28"/>
      <c r="I462" s="28"/>
      <c r="J462" s="77"/>
    </row>
    <row r="463" spans="1:10">
      <c r="A463" s="31"/>
      <c r="B463" s="28"/>
      <c r="C463" s="28"/>
      <c r="D463" s="28"/>
      <c r="E463" s="28"/>
      <c r="F463" s="28"/>
      <c r="G463" s="28"/>
      <c r="H463" s="28"/>
      <c r="I463" s="28"/>
      <c r="J463" s="77"/>
    </row>
    <row r="464" spans="1:10">
      <c r="A464" s="31"/>
      <c r="B464" s="155" t="s">
        <v>72</v>
      </c>
      <c r="C464" s="155"/>
      <c r="D464" s="155"/>
      <c r="E464" s="155"/>
      <c r="F464" s="155"/>
      <c r="G464" s="155"/>
      <c r="H464" s="155"/>
      <c r="I464" s="28"/>
      <c r="J464" s="77"/>
    </row>
    <row r="465" spans="1:10">
      <c r="A465" s="31"/>
      <c r="B465" s="28"/>
      <c r="C465" s="28"/>
      <c r="D465" s="28"/>
      <c r="E465" s="28"/>
      <c r="F465" s="28"/>
      <c r="G465" s="28"/>
      <c r="H465" s="28"/>
      <c r="I465" s="28"/>
      <c r="J465" s="77"/>
    </row>
    <row r="466" spans="1:10">
      <c r="A466" s="31"/>
      <c r="B466" s="28"/>
      <c r="C466" s="28"/>
      <c r="D466" s="28"/>
      <c r="E466" s="28"/>
      <c r="F466" s="28">
        <f>11500/2*A433^2/F434^2*D454/(9.81*D433)+D459*7850*D462^2*I433/2*B433/2</f>
        <v>34980873.848047912</v>
      </c>
      <c r="G466" s="28" t="str">
        <f>E454</f>
        <v>Па</v>
      </c>
      <c r="H466" s="81">
        <f>F466/10^6</f>
        <v>34.980873848047914</v>
      </c>
      <c r="I466" s="28" t="str">
        <f>G454</f>
        <v>МПа</v>
      </c>
      <c r="J466" s="77"/>
    </row>
    <row r="467" spans="1:10">
      <c r="A467" s="31"/>
      <c r="B467" s="28"/>
      <c r="C467" s="28"/>
      <c r="D467" s="28"/>
      <c r="E467" s="28"/>
      <c r="F467" s="28"/>
      <c r="G467" s="28"/>
      <c r="H467" s="81"/>
      <c r="I467" s="28"/>
      <c r="J467" s="77"/>
    </row>
    <row r="468" spans="1:10">
      <c r="A468" s="31"/>
      <c r="B468" s="28"/>
      <c r="C468" s="28"/>
      <c r="D468" s="28"/>
      <c r="E468" s="28"/>
      <c r="F468" s="28"/>
      <c r="G468" s="28"/>
      <c r="H468" s="81"/>
      <c r="I468" s="28"/>
      <c r="J468" s="77"/>
    </row>
    <row r="469" spans="1:10">
      <c r="A469" s="31"/>
      <c r="B469" s="155" t="s">
        <v>70</v>
      </c>
      <c r="C469" s="155"/>
      <c r="D469" s="155"/>
      <c r="E469" s="28"/>
      <c r="F469" s="28"/>
      <c r="G469" s="28"/>
      <c r="H469" s="81"/>
      <c r="I469" s="28"/>
      <c r="J469" s="77"/>
    </row>
    <row r="470" spans="1:10">
      <c r="A470" s="31"/>
      <c r="B470" s="28"/>
      <c r="C470" s="28"/>
      <c r="D470" s="28"/>
      <c r="E470" s="28"/>
      <c r="F470" s="28"/>
      <c r="G470" s="28"/>
      <c r="H470" s="81"/>
      <c r="I470" s="28"/>
      <c r="J470" s="77"/>
    </row>
    <row r="471" spans="1:10">
      <c r="A471" s="31"/>
      <c r="B471" s="28"/>
      <c r="C471" s="28"/>
      <c r="D471" s="28"/>
      <c r="E471" s="28"/>
      <c r="F471" s="28">
        <f>7850*9.81*B433/2</f>
        <v>30803400</v>
      </c>
      <c r="G471" s="28" t="str">
        <f>G466</f>
        <v>Па</v>
      </c>
      <c r="H471" s="81">
        <f>F471/10^6</f>
        <v>30.8034</v>
      </c>
      <c r="I471" s="28" t="str">
        <f>I466</f>
        <v>МПа</v>
      </c>
      <c r="J471" s="77"/>
    </row>
    <row r="472" spans="1:10">
      <c r="A472" s="31"/>
      <c r="B472" s="28"/>
      <c r="C472" s="28"/>
      <c r="D472" s="28"/>
      <c r="E472" s="28"/>
      <c r="F472" s="28"/>
      <c r="G472" s="28"/>
      <c r="H472" s="28"/>
      <c r="I472" s="28"/>
      <c r="J472" s="77"/>
    </row>
    <row r="473" spans="1:10">
      <c r="A473" s="31"/>
      <c r="B473" s="155" t="s">
        <v>65</v>
      </c>
      <c r="C473" s="155"/>
      <c r="D473" s="155"/>
      <c r="E473" s="155"/>
      <c r="F473" s="28"/>
      <c r="G473" s="28"/>
      <c r="H473" s="81"/>
      <c r="I473" s="28"/>
      <c r="J473" s="77"/>
    </row>
    <row r="474" spans="1:10">
      <c r="A474" s="31"/>
      <c r="B474" s="28"/>
      <c r="C474" s="28"/>
      <c r="D474" s="28"/>
      <c r="E474" s="28"/>
      <c r="F474" s="28"/>
      <c r="G474" s="28"/>
      <c r="H474" s="81"/>
      <c r="I474" s="28"/>
      <c r="J474" s="77"/>
    </row>
    <row r="475" spans="1:10">
      <c r="A475" s="31"/>
      <c r="B475" s="28"/>
      <c r="C475" s="28"/>
      <c r="D475" s="28"/>
      <c r="E475" s="28"/>
      <c r="F475" s="28">
        <f>1.15*A433^2/(2*F434^2)*D454+F471*(1-D433/7850)</f>
        <v>49854732.5625</v>
      </c>
      <c r="G475" s="28" t="str">
        <f>G471</f>
        <v>Па</v>
      </c>
      <c r="H475" s="81">
        <f>F475/10^6</f>
        <v>49.854732562499997</v>
      </c>
      <c r="I475" s="28" t="str">
        <f>I471</f>
        <v>МПа</v>
      </c>
      <c r="J475" s="77"/>
    </row>
    <row r="476" spans="1:10">
      <c r="A476" s="31"/>
      <c r="B476" s="28"/>
      <c r="C476" s="28"/>
      <c r="D476" s="28"/>
      <c r="E476" s="28"/>
      <c r="F476" s="28"/>
      <c r="G476" s="28"/>
      <c r="H476" s="28"/>
      <c r="I476" s="28"/>
      <c r="J476" s="77"/>
    </row>
    <row r="477" spans="1:10">
      <c r="A477" s="31"/>
      <c r="B477" s="155" t="s">
        <v>67</v>
      </c>
      <c r="C477" s="155"/>
      <c r="D477" s="155"/>
      <c r="E477" s="28"/>
      <c r="F477" s="28"/>
      <c r="G477" s="28"/>
      <c r="H477" s="28"/>
      <c r="I477" s="28"/>
      <c r="J477" s="77"/>
    </row>
    <row r="478" spans="1:10">
      <c r="A478" s="31"/>
      <c r="B478" s="28"/>
      <c r="C478" s="28"/>
      <c r="D478" s="28"/>
      <c r="E478" s="28"/>
      <c r="F478" s="28"/>
      <c r="G478" s="28"/>
      <c r="H478" s="28"/>
      <c r="I478" s="28"/>
      <c r="J478" s="77"/>
    </row>
    <row r="479" spans="1:10">
      <c r="A479" s="31"/>
      <c r="B479" s="28"/>
      <c r="C479" s="28"/>
      <c r="D479" s="28">
        <f>F466+F475</f>
        <v>84835606.410547912</v>
      </c>
      <c r="E479" s="28" t="str">
        <f>G475</f>
        <v>Па</v>
      </c>
      <c r="F479" s="81">
        <f>D479/10^6</f>
        <v>84.835606410547911</v>
      </c>
      <c r="G479" s="28" t="str">
        <f>I475</f>
        <v>МПа</v>
      </c>
      <c r="H479" s="28"/>
      <c r="I479" s="28"/>
      <c r="J479" s="77"/>
    </row>
    <row r="480" spans="1:10">
      <c r="A480" s="31"/>
      <c r="B480" s="28"/>
      <c r="C480" s="28"/>
      <c r="D480" s="28"/>
      <c r="E480" s="28"/>
      <c r="F480" s="81"/>
      <c r="G480" s="28"/>
      <c r="H480" s="28"/>
      <c r="I480" s="28"/>
      <c r="J480" s="77"/>
    </row>
    <row r="481" spans="1:10">
      <c r="A481" s="31"/>
      <c r="B481" s="155" t="s">
        <v>68</v>
      </c>
      <c r="C481" s="155"/>
      <c r="D481" s="155"/>
      <c r="E481" s="28"/>
      <c r="F481" s="81"/>
      <c r="G481" s="28"/>
      <c r="H481" s="28"/>
      <c r="I481" s="28"/>
      <c r="J481" s="77"/>
    </row>
    <row r="482" spans="1:10">
      <c r="A482" s="31"/>
      <c r="B482" s="28"/>
      <c r="C482" s="28"/>
      <c r="D482" s="28"/>
      <c r="E482" s="28"/>
      <c r="F482" s="81"/>
      <c r="G482" s="28"/>
      <c r="H482" s="28"/>
      <c r="I482" s="28"/>
      <c r="J482" s="77"/>
    </row>
    <row r="483" spans="1:10">
      <c r="A483" s="31"/>
      <c r="B483" s="28"/>
      <c r="C483" s="28"/>
      <c r="D483" s="81">
        <f>SQRT(F466*F479)</f>
        <v>54475.899677472247</v>
      </c>
      <c r="E483" s="28" t="str">
        <f>E479</f>
        <v>Па</v>
      </c>
      <c r="F483" s="81">
        <f>SQRT(H466*F479)</f>
        <v>54.475899677472249</v>
      </c>
      <c r="G483" s="28" t="str">
        <f>G479</f>
        <v>МПа</v>
      </c>
      <c r="H483" s="28"/>
      <c r="I483" s="28"/>
      <c r="J483" s="77"/>
    </row>
    <row r="484" spans="1:10">
      <c r="A484" s="31"/>
      <c r="B484" s="28"/>
      <c r="C484" s="28"/>
      <c r="D484" s="28"/>
      <c r="E484" s="28"/>
      <c r="F484" s="28"/>
      <c r="G484" s="28"/>
      <c r="H484" s="28"/>
      <c r="I484" s="28"/>
      <c r="J484" s="77"/>
    </row>
    <row r="485" spans="1:10">
      <c r="A485" s="31"/>
      <c r="B485" s="155" t="s">
        <v>71</v>
      </c>
      <c r="C485" s="155"/>
      <c r="D485" s="155"/>
      <c r="E485" s="155"/>
      <c r="F485" s="155"/>
      <c r="G485" s="28"/>
      <c r="H485" s="28"/>
      <c r="I485" s="28"/>
      <c r="J485" s="77"/>
    </row>
    <row r="486" spans="1:10">
      <c r="A486" s="31"/>
      <c r="B486" s="28"/>
      <c r="C486" s="28"/>
      <c r="D486" s="28"/>
      <c r="E486" s="28"/>
      <c r="F486" s="28"/>
      <c r="G486" s="28"/>
      <c r="H486" s="28"/>
      <c r="I486" s="28"/>
      <c r="J486" s="77"/>
    </row>
    <row r="487" spans="1:10">
      <c r="A487" s="31"/>
      <c r="B487" s="28"/>
      <c r="C487" s="28"/>
      <c r="D487" s="28"/>
      <c r="E487" s="28"/>
      <c r="F487" s="28"/>
      <c r="G487" s="28"/>
      <c r="H487" s="28">
        <f>11500/2*A433^2*D454/(F433^2*D433*9.81)+D459*D462^2*I433*7850*(B433/2*$F$294^2+B433/2*F433^2)/(2*F433^2)</f>
        <v>27294841.801123366</v>
      </c>
      <c r="I487" s="28" t="str">
        <f>G475</f>
        <v>Па</v>
      </c>
      <c r="J487" s="77"/>
    </row>
    <row r="488" spans="1:10">
      <c r="A488" s="31"/>
      <c r="B488" s="28"/>
      <c r="C488" s="28"/>
      <c r="D488" s="28"/>
      <c r="E488" s="28"/>
      <c r="F488" s="28"/>
      <c r="G488" s="28"/>
      <c r="H488" s="28"/>
      <c r="I488" s="28"/>
      <c r="J488" s="77"/>
    </row>
    <row r="489" spans="1:10">
      <c r="A489" s="31"/>
      <c r="B489" s="28"/>
      <c r="C489" s="28"/>
      <c r="D489" s="28"/>
      <c r="E489" s="28"/>
      <c r="F489" s="28"/>
      <c r="G489" s="28"/>
      <c r="H489" s="81">
        <f>H487/10^6</f>
        <v>27.294841801123365</v>
      </c>
      <c r="I489" s="28" t="str">
        <f>I475</f>
        <v>МПа</v>
      </c>
      <c r="J489" s="77"/>
    </row>
    <row r="490" spans="1:10">
      <c r="A490" s="31"/>
      <c r="B490" s="28"/>
      <c r="C490" s="28"/>
      <c r="D490" s="28"/>
      <c r="E490" s="28"/>
      <c r="F490" s="28"/>
      <c r="G490" s="28"/>
      <c r="H490" s="28"/>
      <c r="I490" s="28"/>
      <c r="J490" s="77"/>
    </row>
    <row r="491" spans="1:10">
      <c r="A491" s="31"/>
      <c r="B491" s="28"/>
      <c r="C491" s="28"/>
      <c r="D491" s="28"/>
      <c r="E491" s="28"/>
      <c r="F491" s="28"/>
      <c r="G491" s="28"/>
      <c r="H491" s="28"/>
      <c r="I491" s="28"/>
      <c r="J491" s="77"/>
    </row>
    <row r="492" spans="1:10">
      <c r="A492" s="31"/>
      <c r="B492" s="28"/>
      <c r="C492" s="28"/>
      <c r="D492" s="28"/>
      <c r="E492" s="28"/>
      <c r="F492" s="28">
        <f>E500/C496*(1-D433/7850)+1.15*A433^2/(2*F433^2)*D454</f>
        <v>62759264.576177284</v>
      </c>
      <c r="G492" s="28" t="str">
        <f>I487</f>
        <v>Па</v>
      </c>
      <c r="H492" s="28">
        <f>F492/10^6</f>
        <v>62.759264576177287</v>
      </c>
      <c r="I492" s="28" t="str">
        <f>I489</f>
        <v>МПа</v>
      </c>
      <c r="J492" s="77"/>
    </row>
    <row r="493" spans="1:10">
      <c r="A493" s="31"/>
      <c r="B493" s="28"/>
      <c r="C493" s="28"/>
      <c r="D493" s="28"/>
      <c r="E493" s="28"/>
      <c r="F493" s="28"/>
      <c r="G493" s="28"/>
      <c r="H493" s="28"/>
      <c r="I493" s="28"/>
      <c r="J493" s="77"/>
    </row>
    <row r="494" spans="1:10">
      <c r="A494" s="31"/>
      <c r="B494" s="28"/>
      <c r="C494" s="28"/>
      <c r="D494" s="28"/>
      <c r="E494" s="28"/>
      <c r="F494" s="28"/>
      <c r="G494" s="28"/>
      <c r="H494" s="28"/>
      <c r="I494" s="28"/>
      <c r="J494" s="77"/>
    </row>
    <row r="495" spans="1:10">
      <c r="A495" s="31"/>
      <c r="B495" s="28" t="s">
        <v>73</v>
      </c>
      <c r="C495" s="28">
        <f>PI()/4*(F434/1000)^2</f>
        <v>2.0106192982974675E-4</v>
      </c>
      <c r="D495" s="28" t="s">
        <v>26</v>
      </c>
      <c r="E495" s="28"/>
      <c r="F495" s="28"/>
      <c r="G495" s="28"/>
      <c r="H495" s="28"/>
      <c r="I495" s="28"/>
      <c r="J495" s="77"/>
    </row>
    <row r="496" spans="1:10">
      <c r="A496" s="31"/>
      <c r="B496" s="28" t="s">
        <v>74</v>
      </c>
      <c r="C496" s="28">
        <f>PI()/4*(F433/1000)^2</f>
        <v>2.835287369864788E-4</v>
      </c>
      <c r="D496" s="28" t="str">
        <f>D495</f>
        <v>м2</v>
      </c>
      <c r="E496" s="28"/>
      <c r="F496" s="28"/>
      <c r="G496" s="28"/>
      <c r="H496" s="28"/>
      <c r="I496" s="28"/>
      <c r="J496" s="77"/>
    </row>
    <row r="497" spans="1:10">
      <c r="A497" s="31"/>
      <c r="B497" s="28"/>
      <c r="C497" s="28"/>
      <c r="D497" s="28"/>
      <c r="E497" s="28"/>
      <c r="F497" s="28"/>
      <c r="G497" s="28"/>
      <c r="H497" s="28"/>
      <c r="I497" s="28"/>
      <c r="J497" s="77"/>
    </row>
    <row r="498" spans="1:10">
      <c r="A498" s="31"/>
      <c r="B498" s="28"/>
      <c r="C498" s="28"/>
      <c r="D498" s="28"/>
      <c r="E498" s="28">
        <f>7850*9.81*B433/2</f>
        <v>30803400</v>
      </c>
      <c r="F498" s="28" t="str">
        <f>G471</f>
        <v>Па</v>
      </c>
      <c r="G498" s="28">
        <f>E498/10^6</f>
        <v>30.8034</v>
      </c>
      <c r="H498" s="28" t="str">
        <f>I489</f>
        <v>МПа</v>
      </c>
      <c r="I498" s="28"/>
      <c r="J498" s="77"/>
    </row>
    <row r="499" spans="1:10">
      <c r="A499" s="31"/>
      <c r="B499" s="28"/>
      <c r="C499" s="28"/>
      <c r="D499" s="28"/>
      <c r="E499" s="28"/>
      <c r="F499" s="28"/>
      <c r="G499" s="28"/>
      <c r="H499" s="28"/>
      <c r="I499" s="28"/>
      <c r="J499" s="77"/>
    </row>
    <row r="500" spans="1:10">
      <c r="A500" s="31"/>
      <c r="B500" s="28"/>
      <c r="C500" s="28"/>
      <c r="D500" s="28" t="s">
        <v>75</v>
      </c>
      <c r="E500" s="28">
        <f>E498*C496+F471*C495</f>
        <v>14927.040146206922</v>
      </c>
      <c r="F500" s="28"/>
      <c r="G500" s="28"/>
      <c r="H500" s="28"/>
      <c r="I500" s="28"/>
      <c r="J500" s="77"/>
    </row>
    <row r="501" spans="1:10">
      <c r="A501" s="31"/>
      <c r="B501" s="28"/>
      <c r="C501" s="28"/>
      <c r="D501" s="28"/>
      <c r="E501" s="28"/>
      <c r="F501" s="28"/>
      <c r="G501" s="28"/>
      <c r="H501" s="28"/>
      <c r="I501" s="28"/>
      <c r="J501" s="77"/>
    </row>
    <row r="502" spans="1:10">
      <c r="A502" s="31"/>
      <c r="B502" s="155" t="s">
        <v>67</v>
      </c>
      <c r="C502" s="155"/>
      <c r="D502" s="155"/>
      <c r="E502" s="28"/>
      <c r="F502" s="28"/>
      <c r="G502" s="28"/>
      <c r="H502" s="28"/>
      <c r="I502" s="28"/>
      <c r="J502" s="77"/>
    </row>
    <row r="503" spans="1:10">
      <c r="A503" s="31"/>
      <c r="B503" s="28"/>
      <c r="C503" s="28"/>
      <c r="D503" s="28"/>
      <c r="E503" s="28"/>
      <c r="F503" s="28"/>
      <c r="G503" s="28"/>
      <c r="H503" s="28"/>
      <c r="I503" s="28"/>
      <c r="J503" s="77"/>
    </row>
    <row r="504" spans="1:10">
      <c r="A504" s="31"/>
      <c r="B504" s="28"/>
      <c r="C504" s="28"/>
      <c r="D504" s="28">
        <f>H487+F492</f>
        <v>90054106.37730065</v>
      </c>
      <c r="E504" s="28" t="str">
        <f>I487</f>
        <v>Па</v>
      </c>
      <c r="F504" s="81">
        <f>D504/10^6</f>
        <v>90.054106377300656</v>
      </c>
      <c r="G504" s="28" t="str">
        <f>I489</f>
        <v>МПа</v>
      </c>
      <c r="H504" s="28"/>
      <c r="I504" s="28"/>
      <c r="J504" s="77"/>
    </row>
    <row r="505" spans="1:10">
      <c r="A505" s="31"/>
      <c r="B505" s="28"/>
      <c r="C505" s="28"/>
      <c r="D505" s="28"/>
      <c r="E505" s="28"/>
      <c r="F505" s="81"/>
      <c r="G505" s="28"/>
      <c r="H505" s="28"/>
      <c r="I505" s="28"/>
      <c r="J505" s="77"/>
    </row>
    <row r="506" spans="1:10">
      <c r="A506" s="31"/>
      <c r="B506" s="155" t="s">
        <v>68</v>
      </c>
      <c r="C506" s="155"/>
      <c r="D506" s="155"/>
      <c r="E506" s="28"/>
      <c r="F506" s="81"/>
      <c r="G506" s="28"/>
      <c r="H506" s="28"/>
      <c r="I506" s="28"/>
      <c r="J506" s="77"/>
    </row>
    <row r="507" spans="1:10">
      <c r="A507" s="31"/>
      <c r="B507" s="28"/>
      <c r="C507" s="28"/>
      <c r="D507" s="28"/>
      <c r="E507" s="28"/>
      <c r="F507" s="81"/>
      <c r="G507" s="28"/>
      <c r="H507" s="28"/>
      <c r="I507" s="28"/>
      <c r="J507" s="77"/>
    </row>
    <row r="508" spans="1:10">
      <c r="A508" s="31"/>
      <c r="B508" s="28"/>
      <c r="C508" s="28"/>
      <c r="D508" s="90">
        <f>SQRT(H487*D504)</f>
        <v>49578347.966727935</v>
      </c>
      <c r="E508" s="28" t="str">
        <f>E504</f>
        <v>Па</v>
      </c>
      <c r="F508" s="90">
        <f>SQRT(H489*F504)</f>
        <v>49.578347966727939</v>
      </c>
      <c r="G508" s="28" t="str">
        <f>G504</f>
        <v>МПа</v>
      </c>
      <c r="H508" s="28"/>
      <c r="I508" s="28"/>
      <c r="J508" s="77"/>
    </row>
    <row r="509" spans="1:10">
      <c r="A509" s="31"/>
      <c r="B509" s="28"/>
      <c r="C509" s="28"/>
      <c r="D509" s="28"/>
      <c r="E509" s="28"/>
      <c r="F509" s="28"/>
      <c r="G509" s="28"/>
      <c r="H509" s="28"/>
      <c r="I509" s="28"/>
      <c r="J509" s="77"/>
    </row>
    <row r="510" spans="1:10">
      <c r="A510" s="31"/>
      <c r="B510" s="155" t="s">
        <v>80</v>
      </c>
      <c r="C510" s="155"/>
      <c r="D510" s="155"/>
      <c r="E510" s="155"/>
      <c r="F510" s="155"/>
      <c r="G510" s="28"/>
      <c r="H510" s="28"/>
      <c r="I510" s="28"/>
      <c r="J510" s="77"/>
    </row>
    <row r="511" spans="1:10">
      <c r="A511" s="96" t="s">
        <v>76</v>
      </c>
      <c r="B511" s="28">
        <v>600</v>
      </c>
      <c r="C511" s="12" t="s">
        <v>20</v>
      </c>
      <c r="D511" s="12" t="s">
        <v>77</v>
      </c>
      <c r="E511" s="12">
        <f>B433-B511</f>
        <v>200</v>
      </c>
      <c r="F511" s="12" t="s">
        <v>20</v>
      </c>
      <c r="G511" s="28"/>
      <c r="H511" s="28"/>
      <c r="I511" s="28"/>
      <c r="J511" s="77"/>
    </row>
    <row r="512" spans="1:10">
      <c r="A512" s="31"/>
      <c r="B512" s="12"/>
      <c r="C512" s="12"/>
      <c r="D512" s="12"/>
      <c r="E512" s="12"/>
      <c r="F512" s="12"/>
      <c r="G512" s="28"/>
      <c r="H512" s="28"/>
      <c r="I512" s="28"/>
      <c r="J512" s="77"/>
    </row>
    <row r="513" spans="1:10">
      <c r="A513" s="31"/>
      <c r="B513" s="155" t="s">
        <v>72</v>
      </c>
      <c r="C513" s="155"/>
      <c r="D513" s="155"/>
      <c r="E513" s="155"/>
      <c r="F513" s="155"/>
      <c r="G513" s="155"/>
      <c r="H513" s="155"/>
      <c r="I513" s="28"/>
      <c r="J513" s="77"/>
    </row>
    <row r="514" spans="1:10">
      <c r="A514" s="31"/>
      <c r="B514" s="28"/>
      <c r="C514" s="28"/>
      <c r="D514" s="28"/>
      <c r="E514" s="28"/>
      <c r="F514" s="28"/>
      <c r="G514" s="28"/>
      <c r="H514" s="28"/>
      <c r="I514" s="28"/>
      <c r="J514" s="77"/>
    </row>
    <row r="515" spans="1:10">
      <c r="A515" s="31"/>
      <c r="B515" s="28"/>
      <c r="C515" s="28"/>
      <c r="D515" s="28"/>
      <c r="E515" s="28"/>
      <c r="F515" s="28">
        <f>11500/2*A433^2/F434^2*D454/(9.81*D433)+D459*7850*D462^2*I433/2*B511</f>
        <v>39258655.681882523</v>
      </c>
      <c r="G515" s="28" t="str">
        <f>E508</f>
        <v>Па</v>
      </c>
      <c r="H515" s="81">
        <f>F515/10^6</f>
        <v>39.258655681882523</v>
      </c>
      <c r="I515" s="28" t="str">
        <f>G508</f>
        <v>МПа</v>
      </c>
      <c r="J515" s="77"/>
    </row>
    <row r="516" spans="1:10">
      <c r="A516" s="31"/>
      <c r="B516" s="28"/>
      <c r="C516" s="28"/>
      <c r="D516" s="28"/>
      <c r="E516" s="28"/>
      <c r="F516" s="28"/>
      <c r="G516" s="28"/>
      <c r="H516" s="81"/>
      <c r="I516" s="28"/>
      <c r="J516" s="77"/>
    </row>
    <row r="517" spans="1:10">
      <c r="A517" s="31"/>
      <c r="B517" s="28"/>
      <c r="C517" s="28"/>
      <c r="D517" s="28"/>
      <c r="E517" s="28"/>
      <c r="F517" s="28"/>
      <c r="G517" s="28"/>
      <c r="H517" s="81"/>
      <c r="I517" s="28"/>
      <c r="J517" s="77"/>
    </row>
    <row r="518" spans="1:10">
      <c r="A518" s="31"/>
      <c r="B518" s="155" t="s">
        <v>70</v>
      </c>
      <c r="C518" s="155"/>
      <c r="D518" s="155"/>
      <c r="E518" s="28"/>
      <c r="F518" s="28"/>
      <c r="G518" s="28"/>
      <c r="H518" s="81"/>
      <c r="I518" s="28"/>
      <c r="J518" s="77"/>
    </row>
    <row r="519" spans="1:10">
      <c r="A519" s="31"/>
      <c r="B519" s="28"/>
      <c r="C519" s="28"/>
      <c r="D519" s="28"/>
      <c r="E519" s="28"/>
      <c r="F519" s="28"/>
      <c r="G519" s="28"/>
      <c r="H519" s="81"/>
      <c r="I519" s="28"/>
      <c r="J519" s="77"/>
    </row>
    <row r="520" spans="1:10">
      <c r="A520" s="31"/>
      <c r="B520" s="28"/>
      <c r="C520" s="28"/>
      <c r="D520" s="28"/>
      <c r="E520" s="28"/>
      <c r="F520" s="28">
        <f>7850*9.81*B511</f>
        <v>46205100</v>
      </c>
      <c r="G520" s="28" t="str">
        <f>G515</f>
        <v>Па</v>
      </c>
      <c r="H520" s="81">
        <f>F520/10^6</f>
        <v>46.205100000000002</v>
      </c>
      <c r="I520" s="28" t="str">
        <f>I515</f>
        <v>МПа</v>
      </c>
      <c r="J520" s="77"/>
    </row>
    <row r="521" spans="1:10">
      <c r="A521" s="31"/>
      <c r="B521" s="28"/>
      <c r="C521" s="28"/>
      <c r="D521" s="28"/>
      <c r="E521" s="28"/>
      <c r="F521" s="28"/>
      <c r="G521" s="28"/>
      <c r="H521" s="28"/>
      <c r="I521" s="28"/>
      <c r="J521" s="77"/>
    </row>
    <row r="522" spans="1:10">
      <c r="A522" s="31"/>
      <c r="B522" s="155" t="s">
        <v>65</v>
      </c>
      <c r="C522" s="155"/>
      <c r="D522" s="155"/>
      <c r="E522" s="155"/>
      <c r="F522" s="28"/>
      <c r="G522" s="28"/>
      <c r="H522" s="81"/>
      <c r="I522" s="28"/>
      <c r="J522" s="77"/>
    </row>
    <row r="523" spans="1:10">
      <c r="A523" s="31"/>
      <c r="B523" s="28"/>
      <c r="C523" s="28"/>
      <c r="D523" s="28"/>
      <c r="E523" s="28"/>
      <c r="F523" s="28"/>
      <c r="G523" s="28"/>
      <c r="H523" s="81"/>
      <c r="I523" s="28"/>
      <c r="J523" s="77"/>
    </row>
    <row r="524" spans="1:10">
      <c r="A524" s="31"/>
      <c r="B524" s="28"/>
      <c r="C524" s="28"/>
      <c r="D524" s="28"/>
      <c r="E524" s="28"/>
      <c r="F524" s="28">
        <f>1.15*A433^2/(2*F434^2)*D454+F471*(1-D433/7850)</f>
        <v>49854732.5625</v>
      </c>
      <c r="G524" s="28" t="str">
        <f>G520</f>
        <v>Па</v>
      </c>
      <c r="H524" s="81">
        <f>F524/10^6</f>
        <v>49.854732562499997</v>
      </c>
      <c r="I524" s="28" t="str">
        <f>I520</f>
        <v>МПа</v>
      </c>
      <c r="J524" s="77"/>
    </row>
    <row r="525" spans="1:10">
      <c r="A525" s="31"/>
      <c r="B525" s="28"/>
      <c r="C525" s="28"/>
      <c r="D525" s="28"/>
      <c r="E525" s="28"/>
      <c r="F525" s="28"/>
      <c r="G525" s="28"/>
      <c r="H525" s="28"/>
      <c r="I525" s="28"/>
      <c r="J525" s="77"/>
    </row>
    <row r="526" spans="1:10">
      <c r="A526" s="31"/>
      <c r="B526" s="155" t="s">
        <v>67</v>
      </c>
      <c r="C526" s="155"/>
      <c r="D526" s="155"/>
      <c r="E526" s="28"/>
      <c r="F526" s="28"/>
      <c r="G526" s="28"/>
      <c r="H526" s="28"/>
      <c r="I526" s="28"/>
      <c r="J526" s="77"/>
    </row>
    <row r="527" spans="1:10">
      <c r="A527" s="31"/>
      <c r="B527" s="28"/>
      <c r="C527" s="28"/>
      <c r="D527" s="28"/>
      <c r="E527" s="28"/>
      <c r="F527" s="28"/>
      <c r="G527" s="28"/>
      <c r="H527" s="28"/>
      <c r="I527" s="28"/>
      <c r="J527" s="77"/>
    </row>
    <row r="528" spans="1:10">
      <c r="A528" s="31"/>
      <c r="B528" s="28"/>
      <c r="C528" s="28"/>
      <c r="D528" s="28">
        <f>F515+F524</f>
        <v>89113388.24438253</v>
      </c>
      <c r="E528" s="28" t="str">
        <f>G524</f>
        <v>Па</v>
      </c>
      <c r="F528" s="81">
        <f>D528/10^6</f>
        <v>89.113388244382534</v>
      </c>
      <c r="G528" s="28" t="str">
        <f>I524</f>
        <v>МПа</v>
      </c>
      <c r="H528" s="28"/>
      <c r="I528" s="28"/>
      <c r="J528" s="77"/>
    </row>
    <row r="529" spans="1:10">
      <c r="A529" s="31"/>
      <c r="B529" s="28"/>
      <c r="C529" s="28"/>
      <c r="D529" s="28"/>
      <c r="E529" s="28"/>
      <c r="F529" s="81"/>
      <c r="G529" s="28"/>
      <c r="H529" s="28"/>
      <c r="I529" s="28"/>
      <c r="J529" s="77"/>
    </row>
    <row r="530" spans="1:10">
      <c r="A530" s="31"/>
      <c r="B530" s="155" t="s">
        <v>68</v>
      </c>
      <c r="C530" s="155"/>
      <c r="D530" s="155"/>
      <c r="E530" s="28"/>
      <c r="F530" s="81"/>
      <c r="G530" s="28"/>
      <c r="H530" s="28"/>
      <c r="I530" s="28"/>
      <c r="J530" s="77"/>
    </row>
    <row r="531" spans="1:10">
      <c r="A531" s="31"/>
      <c r="B531" s="28"/>
      <c r="C531" s="28"/>
      <c r="D531" s="28"/>
      <c r="E531" s="28"/>
      <c r="F531" s="81"/>
      <c r="G531" s="28"/>
      <c r="H531" s="28"/>
      <c r="I531" s="28"/>
      <c r="J531" s="77"/>
    </row>
    <row r="532" spans="1:10">
      <c r="A532" s="31"/>
      <c r="B532" s="28"/>
      <c r="C532" s="28"/>
      <c r="D532" s="90">
        <f>SQRT(F515*D528)</f>
        <v>59147880.991056062</v>
      </c>
      <c r="E532" s="28" t="str">
        <f>E528</f>
        <v>Па</v>
      </c>
      <c r="F532" s="81">
        <f>SQRT(H515*F528)</f>
        <v>59.147880991056063</v>
      </c>
      <c r="G532" s="28" t="str">
        <f>G528</f>
        <v>МПа</v>
      </c>
      <c r="H532" s="28"/>
      <c r="I532" s="28"/>
      <c r="J532" s="77"/>
    </row>
    <row r="533" spans="1:10">
      <c r="A533" s="31"/>
      <c r="B533" s="28"/>
      <c r="C533" s="28"/>
      <c r="D533" s="28"/>
      <c r="E533" s="28"/>
      <c r="F533" s="28"/>
      <c r="G533" s="28"/>
      <c r="H533" s="28"/>
      <c r="I533" s="28"/>
      <c r="J533" s="77"/>
    </row>
    <row r="534" spans="1:10">
      <c r="A534" s="31"/>
      <c r="B534" s="155" t="s">
        <v>71</v>
      </c>
      <c r="C534" s="155"/>
      <c r="D534" s="155"/>
      <c r="E534" s="155"/>
      <c r="F534" s="155"/>
      <c r="G534" s="28"/>
      <c r="H534" s="28"/>
      <c r="I534" s="28"/>
      <c r="J534" s="77"/>
    </row>
    <row r="535" spans="1:10">
      <c r="A535" s="31"/>
      <c r="B535" s="28"/>
      <c r="C535" s="28"/>
      <c r="D535" s="28"/>
      <c r="E535" s="28"/>
      <c r="F535" s="28"/>
      <c r="G535" s="28"/>
      <c r="H535" s="28"/>
      <c r="I535" s="28"/>
      <c r="J535" s="77"/>
    </row>
    <row r="536" spans="1:10">
      <c r="A536" s="31"/>
      <c r="B536" s="28"/>
      <c r="C536" s="28"/>
      <c r="D536" s="28"/>
      <c r="E536" s="28"/>
      <c r="F536" s="28"/>
      <c r="G536" s="28"/>
      <c r="H536" s="28">
        <f>11500/2*A433^2*D454/(F433^2*D433*9.81)+D459*D462^2*I433*7850*(B511*F434^2+E511*F433^2)/(2*F433^2)</f>
        <v>32117714.948964596</v>
      </c>
      <c r="I536" s="28" t="str">
        <f>G524</f>
        <v>Па</v>
      </c>
      <c r="J536" s="77"/>
    </row>
    <row r="537" spans="1:10">
      <c r="A537" s="31"/>
      <c r="B537" s="28"/>
      <c r="C537" s="28"/>
      <c r="D537" s="28"/>
      <c r="E537" s="28"/>
      <c r="F537" s="28"/>
      <c r="G537" s="28"/>
      <c r="H537" s="28"/>
      <c r="I537" s="28"/>
      <c r="J537" s="77"/>
    </row>
    <row r="538" spans="1:10">
      <c r="A538" s="31"/>
      <c r="B538" s="28"/>
      <c r="C538" s="28"/>
      <c r="D538" s="28"/>
      <c r="E538" s="28"/>
      <c r="F538" s="28"/>
      <c r="G538" s="28"/>
      <c r="H538" s="81">
        <f>H536/10^6</f>
        <v>32.117714948964597</v>
      </c>
      <c r="I538" s="28" t="str">
        <f>I524</f>
        <v>МПа</v>
      </c>
      <c r="J538" s="77"/>
    </row>
    <row r="539" spans="1:10">
      <c r="A539" s="31"/>
      <c r="B539" s="28"/>
      <c r="C539" s="28"/>
      <c r="D539" s="28"/>
      <c r="E539" s="28"/>
      <c r="F539" s="28"/>
      <c r="G539" s="28"/>
      <c r="H539" s="28"/>
      <c r="I539" s="28"/>
      <c r="J539" s="77"/>
    </row>
    <row r="540" spans="1:10">
      <c r="A540" s="31"/>
      <c r="B540" s="28"/>
      <c r="C540" s="28"/>
      <c r="D540" s="28"/>
      <c r="E540" s="28"/>
      <c r="F540" s="28"/>
      <c r="G540" s="28"/>
      <c r="H540" s="28"/>
      <c r="I540" s="28"/>
      <c r="J540" s="77"/>
    </row>
    <row r="541" spans="1:10">
      <c r="A541" s="31"/>
      <c r="B541" s="28"/>
      <c r="C541" s="28"/>
      <c r="D541" s="28"/>
      <c r="E541" s="28"/>
      <c r="F541" s="28">
        <f>E549/C545*(1-D433/7850)+1.15*A433^2/(2*F433^2)*D454</f>
        <v>58773741.473684222</v>
      </c>
      <c r="G541" s="28" t="str">
        <f>I536</f>
        <v>Па</v>
      </c>
      <c r="H541" s="81">
        <f>F541/10^6</f>
        <v>58.773741473684218</v>
      </c>
      <c r="I541" s="28" t="str">
        <f>I538</f>
        <v>МПа</v>
      </c>
      <c r="J541" s="77"/>
    </row>
    <row r="542" spans="1:10">
      <c r="A542" s="31"/>
      <c r="B542" s="28"/>
      <c r="C542" s="28"/>
      <c r="D542" s="28"/>
      <c r="E542" s="28"/>
      <c r="F542" s="28"/>
      <c r="G542" s="28"/>
      <c r="H542" s="28"/>
      <c r="I542" s="28"/>
      <c r="J542" s="77"/>
    </row>
    <row r="543" spans="1:10">
      <c r="A543" s="31"/>
      <c r="B543" s="28"/>
      <c r="C543" s="28"/>
      <c r="D543" s="28"/>
      <c r="E543" s="28"/>
      <c r="F543" s="28"/>
      <c r="G543" s="28"/>
      <c r="H543" s="28"/>
      <c r="I543" s="28"/>
      <c r="J543" s="77"/>
    </row>
    <row r="544" spans="1:10">
      <c r="A544" s="31"/>
      <c r="B544" s="28" t="s">
        <v>73</v>
      </c>
      <c r="C544" s="28">
        <f>PI()/4*(F434/1000)^2</f>
        <v>2.0106192982974675E-4</v>
      </c>
      <c r="D544" s="28" t="s">
        <v>26</v>
      </c>
      <c r="E544" s="28"/>
      <c r="F544" s="28"/>
      <c r="G544" s="28"/>
      <c r="H544" s="28"/>
      <c r="I544" s="28"/>
      <c r="J544" s="77"/>
    </row>
    <row r="545" spans="1:10">
      <c r="A545" s="31"/>
      <c r="B545" s="28" t="s">
        <v>74</v>
      </c>
      <c r="C545" s="28">
        <f>PI()/4*(F433/1000)^2</f>
        <v>2.835287369864788E-4</v>
      </c>
      <c r="D545" s="28" t="str">
        <f>D544</f>
        <v>м2</v>
      </c>
      <c r="E545" s="28"/>
      <c r="F545" s="28"/>
      <c r="G545" s="28"/>
      <c r="H545" s="28"/>
      <c r="I545" s="28"/>
      <c r="J545" s="77"/>
    </row>
    <row r="546" spans="1:10">
      <c r="A546" s="31"/>
      <c r="B546" s="28"/>
      <c r="C546" s="28"/>
      <c r="D546" s="28"/>
      <c r="E546" s="28"/>
      <c r="F546" s="28"/>
      <c r="G546" s="28"/>
      <c r="H546" s="28"/>
      <c r="I546" s="28"/>
      <c r="J546" s="77"/>
    </row>
    <row r="547" spans="1:10">
      <c r="A547" s="31"/>
      <c r="B547" s="28"/>
      <c r="C547" s="28"/>
      <c r="D547" s="28"/>
      <c r="E547" s="28">
        <f>7850*9.81*E511</f>
        <v>15401700</v>
      </c>
      <c r="F547" s="28" t="str">
        <f>G520</f>
        <v>Па</v>
      </c>
      <c r="G547" s="81">
        <f>E547/10^6</f>
        <v>15.4017</v>
      </c>
      <c r="H547" s="28" t="str">
        <f>I538</f>
        <v>МПа</v>
      </c>
      <c r="I547" s="28"/>
      <c r="J547" s="77"/>
    </row>
    <row r="548" spans="1:10">
      <c r="A548" s="31"/>
      <c r="B548" s="28"/>
      <c r="C548" s="28"/>
      <c r="D548" s="28"/>
      <c r="E548" s="28"/>
      <c r="F548" s="28"/>
      <c r="G548" s="28"/>
      <c r="H548" s="28"/>
      <c r="I548" s="28"/>
      <c r="J548" s="77"/>
    </row>
    <row r="549" spans="1:10">
      <c r="A549" s="31"/>
      <c r="B549" s="28"/>
      <c r="C549" s="28"/>
      <c r="D549" s="28" t="s">
        <v>75</v>
      </c>
      <c r="E549" s="28">
        <f>E547*C545+F520*C544</f>
        <v>13656.911122421083</v>
      </c>
      <c r="F549" s="28"/>
      <c r="G549" s="28"/>
      <c r="H549" s="28"/>
      <c r="I549" s="28"/>
      <c r="J549" s="77"/>
    </row>
    <row r="550" spans="1:10">
      <c r="A550" s="31"/>
      <c r="B550" s="28"/>
      <c r="C550" s="28"/>
      <c r="D550" s="28"/>
      <c r="E550" s="28"/>
      <c r="F550" s="28"/>
      <c r="G550" s="28"/>
      <c r="H550" s="28"/>
      <c r="I550" s="28"/>
      <c r="J550" s="77"/>
    </row>
    <row r="551" spans="1:10">
      <c r="A551" s="31"/>
      <c r="B551" s="155" t="s">
        <v>67</v>
      </c>
      <c r="C551" s="155"/>
      <c r="D551" s="155"/>
      <c r="E551" s="28"/>
      <c r="F551" s="28"/>
      <c r="G551" s="28"/>
      <c r="H551" s="28"/>
      <c r="I551" s="28"/>
      <c r="J551" s="77"/>
    </row>
    <row r="552" spans="1:10">
      <c r="A552" s="31"/>
      <c r="B552" s="28"/>
      <c r="C552" s="28"/>
      <c r="D552" s="28"/>
      <c r="E552" s="28"/>
      <c r="F552" s="28"/>
      <c r="G552" s="28"/>
      <c r="H552" s="28"/>
      <c r="I552" s="28"/>
      <c r="J552" s="77"/>
    </row>
    <row r="553" spans="1:10">
      <c r="A553" s="31"/>
      <c r="B553" s="28"/>
      <c r="C553" s="28"/>
      <c r="D553" s="28">
        <f>H536+F541</f>
        <v>90891456.422648817</v>
      </c>
      <c r="E553" s="28" t="str">
        <f>I536</f>
        <v>Па</v>
      </c>
      <c r="F553" s="81">
        <f>D553/10^6</f>
        <v>90.891456422648815</v>
      </c>
      <c r="G553" s="28" t="str">
        <f>I538</f>
        <v>МПа</v>
      </c>
      <c r="H553" s="28"/>
      <c r="I553" s="28"/>
      <c r="J553" s="77"/>
    </row>
    <row r="554" spans="1:10">
      <c r="A554" s="31"/>
      <c r="B554" s="28"/>
      <c r="C554" s="28"/>
      <c r="D554" s="28"/>
      <c r="E554" s="28"/>
      <c r="F554" s="81"/>
      <c r="G554" s="28"/>
      <c r="H554" s="28"/>
      <c r="I554" s="28"/>
      <c r="J554" s="77"/>
    </row>
    <row r="555" spans="1:10">
      <c r="A555" s="31"/>
      <c r="B555" s="155" t="s">
        <v>68</v>
      </c>
      <c r="C555" s="155"/>
      <c r="D555" s="155"/>
      <c r="E555" s="28"/>
      <c r="F555" s="81"/>
      <c r="G555" s="28"/>
      <c r="H555" s="28"/>
      <c r="I555" s="28"/>
      <c r="J555" s="77"/>
    </row>
    <row r="556" spans="1:10">
      <c r="A556" s="31"/>
      <c r="B556" s="28"/>
      <c r="C556" s="28"/>
      <c r="D556" s="28"/>
      <c r="E556" s="28"/>
      <c r="F556" s="81"/>
      <c r="G556" s="28"/>
      <c r="H556" s="28"/>
      <c r="I556" s="28"/>
      <c r="J556" s="77"/>
    </row>
    <row r="557" spans="1:10">
      <c r="A557" s="31"/>
      <c r="B557" s="28"/>
      <c r="C557" s="28"/>
      <c r="D557" s="90">
        <f>SQRT(H536*D553)</f>
        <v>54029861.083283119</v>
      </c>
      <c r="E557" s="28" t="str">
        <f>E553</f>
        <v>Па</v>
      </c>
      <c r="F557" s="90">
        <f>SQRT(H538*F553)</f>
        <v>54.029861083283123</v>
      </c>
      <c r="G557" s="28" t="str">
        <f>G553</f>
        <v>МПа</v>
      </c>
      <c r="H557" s="28"/>
      <c r="I557" s="28"/>
      <c r="J557" s="77"/>
    </row>
    <row r="558" spans="1:10">
      <c r="A558" s="31"/>
      <c r="B558" s="28"/>
      <c r="C558" s="28"/>
      <c r="D558" s="28"/>
      <c r="E558" s="28"/>
      <c r="F558" s="28"/>
      <c r="G558" s="28"/>
      <c r="H558" s="28"/>
      <c r="I558" s="28"/>
      <c r="J558" s="77"/>
    </row>
    <row r="559" spans="1:10">
      <c r="A559" s="170" t="s">
        <v>93</v>
      </c>
      <c r="B559" s="171"/>
      <c r="C559" s="171"/>
      <c r="D559" s="171"/>
      <c r="E559" s="171"/>
      <c r="F559" s="171"/>
      <c r="G559" s="171"/>
      <c r="H559" s="171"/>
      <c r="I559" s="171"/>
      <c r="J559" s="77"/>
    </row>
    <row r="560" spans="1:10">
      <c r="A560" s="170"/>
      <c r="B560" s="171"/>
      <c r="C560" s="171"/>
      <c r="D560" s="171"/>
      <c r="E560" s="171"/>
      <c r="F560" s="171"/>
      <c r="G560" s="171"/>
      <c r="H560" s="171"/>
      <c r="I560" s="171"/>
      <c r="J560" s="77"/>
    </row>
    <row r="561" spans="1:10">
      <c r="A561" s="31"/>
      <c r="B561" s="172" t="s">
        <v>81</v>
      </c>
      <c r="C561" s="172"/>
      <c r="D561" s="172"/>
      <c r="E561" s="28"/>
      <c r="F561" s="28"/>
      <c r="G561" s="28"/>
      <c r="H561" s="28"/>
      <c r="I561" s="28"/>
      <c r="J561" s="77"/>
    </row>
    <row r="562" spans="1:10" ht="16.5" thickBot="1">
      <c r="A562" s="74"/>
      <c r="B562" s="59"/>
      <c r="C562" s="97" t="s">
        <v>82</v>
      </c>
      <c r="D562" s="75">
        <f>320/F553</f>
        <v>3.5206829397912554</v>
      </c>
      <c r="E562" s="75"/>
      <c r="F562" s="75"/>
      <c r="G562" s="75"/>
      <c r="H562" s="75"/>
      <c r="I562" s="75"/>
      <c r="J562" s="87"/>
    </row>
    <row r="563" spans="1:10">
      <c r="A563" s="173" t="s">
        <v>83</v>
      </c>
      <c r="B563" s="174"/>
      <c r="C563" s="174"/>
      <c r="D563" s="174"/>
      <c r="E563" s="174"/>
      <c r="F563" s="174"/>
      <c r="G563" s="174"/>
      <c r="H563" s="174"/>
      <c r="I563" s="174"/>
      <c r="J563" s="88"/>
    </row>
    <row r="564" spans="1:10">
      <c r="A564" s="168"/>
      <c r="B564" s="169"/>
      <c r="C564" s="169"/>
      <c r="D564" s="169"/>
      <c r="E564" s="169"/>
      <c r="F564" s="169"/>
      <c r="G564" s="169"/>
      <c r="H564" s="169"/>
      <c r="I564" s="169"/>
      <c r="J564" s="77"/>
    </row>
    <row r="565" spans="1:10" ht="16.5" thickBot="1">
      <c r="A565" s="31" t="s">
        <v>112</v>
      </c>
      <c r="B565" s="28"/>
      <c r="C565" s="28"/>
      <c r="D565" s="28"/>
      <c r="E565" s="28"/>
      <c r="F565" s="28"/>
      <c r="G565" s="28"/>
      <c r="H565" s="28"/>
      <c r="I565" s="28"/>
      <c r="J565" s="77"/>
    </row>
    <row r="566" spans="1:10" ht="63.75" thickBot="1">
      <c r="A566" s="33" t="s">
        <v>1</v>
      </c>
      <c r="B566" s="33" t="s">
        <v>2</v>
      </c>
      <c r="C566" s="33" t="s">
        <v>3</v>
      </c>
      <c r="D566" s="33" t="s">
        <v>4</v>
      </c>
      <c r="E566" s="33" t="s">
        <v>48</v>
      </c>
      <c r="F566" s="33" t="s">
        <v>49</v>
      </c>
      <c r="G566" s="33" t="s">
        <v>61</v>
      </c>
      <c r="H566" s="33" t="s">
        <v>62</v>
      </c>
      <c r="I566" s="33" t="s">
        <v>63</v>
      </c>
      <c r="J566" s="77"/>
    </row>
    <row r="567" spans="1:10" ht="16.5" thickBot="1">
      <c r="A567" s="33">
        <v>40</v>
      </c>
      <c r="B567" s="33">
        <v>900</v>
      </c>
      <c r="C567" s="33">
        <v>800</v>
      </c>
      <c r="D567" s="33">
        <v>855</v>
      </c>
      <c r="E567" s="91">
        <v>0.3</v>
      </c>
      <c r="F567" s="33">
        <v>19</v>
      </c>
      <c r="G567" s="78">
        <v>2500</v>
      </c>
      <c r="H567" s="92">
        <v>10.199999999999999</v>
      </c>
      <c r="I567" s="78">
        <v>3</v>
      </c>
      <c r="J567" s="77"/>
    </row>
    <row r="568" spans="1:10" ht="16.5" thickBot="1">
      <c r="A568" s="31"/>
      <c r="B568" s="28"/>
      <c r="C568" s="28"/>
      <c r="D568" s="28"/>
      <c r="E568" s="28"/>
      <c r="F568" s="78">
        <v>16</v>
      </c>
      <c r="G568" s="28"/>
      <c r="H568" s="28"/>
      <c r="I568" s="28"/>
      <c r="J568" s="77"/>
    </row>
    <row r="569" spans="1:10">
      <c r="A569" s="141" t="s">
        <v>91</v>
      </c>
      <c r="B569" s="142"/>
      <c r="C569" s="142"/>
      <c r="D569" s="142"/>
      <c r="E569" s="142"/>
      <c r="F569" s="28"/>
      <c r="G569" s="28"/>
      <c r="H569" s="28"/>
      <c r="I569" s="28"/>
      <c r="J569" s="77"/>
    </row>
    <row r="570" spans="1:10" ht="18.75">
      <c r="A570" s="154" t="s">
        <v>85</v>
      </c>
      <c r="B570" s="155"/>
      <c r="C570" s="155"/>
      <c r="D570" s="155"/>
      <c r="E570" s="155"/>
      <c r="F570" s="28">
        <v>1.57</v>
      </c>
      <c r="G570" s="28" t="s">
        <v>84</v>
      </c>
      <c r="H570" s="28"/>
      <c r="I570" s="28"/>
      <c r="J570" s="77"/>
    </row>
    <row r="571" spans="1:10">
      <c r="A571" s="31"/>
      <c r="B571" s="28"/>
      <c r="C571" s="28"/>
      <c r="D571" s="28"/>
      <c r="E571" s="28"/>
      <c r="F571" s="28"/>
      <c r="G571" s="28"/>
      <c r="H571" s="28"/>
      <c r="I571" s="28"/>
      <c r="J571" s="77"/>
    </row>
    <row r="572" spans="1:10">
      <c r="A572" s="31"/>
      <c r="B572" s="28"/>
      <c r="C572" s="81">
        <f>F570/5100*B567</f>
        <v>0.27705882352941175</v>
      </c>
      <c r="D572" s="28"/>
      <c r="E572" s="28"/>
      <c r="F572" s="28"/>
      <c r="G572" s="28"/>
      <c r="H572" s="28"/>
      <c r="I572" s="28"/>
      <c r="J572" s="77"/>
    </row>
    <row r="573" spans="1:10">
      <c r="A573" s="31"/>
      <c r="B573" s="28"/>
      <c r="C573" s="28"/>
      <c r="D573" s="28"/>
      <c r="E573" s="28"/>
      <c r="F573" s="28"/>
      <c r="G573" s="28"/>
      <c r="H573" s="28"/>
      <c r="I573" s="28"/>
      <c r="J573" s="77"/>
    </row>
    <row r="574" spans="1:10">
      <c r="A574" s="31"/>
      <c r="B574" s="155" t="s">
        <v>53</v>
      </c>
      <c r="C574" s="155"/>
      <c r="D574" s="155"/>
      <c r="E574" s="155"/>
      <c r="F574" s="155"/>
      <c r="G574" s="28"/>
      <c r="H574" s="28"/>
      <c r="I574" s="28"/>
      <c r="J574" s="77"/>
    </row>
    <row r="575" spans="1:10">
      <c r="A575" s="31"/>
      <c r="B575" s="28"/>
      <c r="C575" s="28"/>
      <c r="D575" s="28"/>
      <c r="E575" s="28"/>
      <c r="F575" s="28"/>
      <c r="G575" s="28"/>
      <c r="H575" s="28"/>
      <c r="I575" s="28"/>
      <c r="J575" s="77"/>
    </row>
    <row r="576" spans="1:10">
      <c r="A576" s="31"/>
      <c r="B576" s="28"/>
      <c r="C576" s="28"/>
      <c r="D576" s="28"/>
      <c r="E576" s="28"/>
      <c r="F576" s="28"/>
      <c r="G576" s="28"/>
      <c r="H576" s="28"/>
      <c r="I576" s="28"/>
      <c r="J576" s="77"/>
    </row>
    <row r="577" spans="1:10">
      <c r="A577" s="168" t="s">
        <v>54</v>
      </c>
      <c r="B577" s="169"/>
      <c r="C577" s="169"/>
      <c r="D577" s="169"/>
      <c r="E577" s="169"/>
      <c r="F577" s="169"/>
      <c r="G577" s="169"/>
      <c r="H577" s="169"/>
      <c r="I577" s="28"/>
      <c r="J577" s="77"/>
    </row>
    <row r="578" spans="1:10">
      <c r="A578" s="168"/>
      <c r="B578" s="169"/>
      <c r="C578" s="169"/>
      <c r="D578" s="169"/>
      <c r="E578" s="169"/>
      <c r="F578" s="169"/>
      <c r="G578" s="169"/>
      <c r="H578" s="169"/>
      <c r="I578" s="28"/>
      <c r="J578" s="77"/>
    </row>
    <row r="579" spans="1:10">
      <c r="A579" s="31"/>
      <c r="B579" s="28"/>
      <c r="C579" s="28"/>
      <c r="D579" s="28"/>
      <c r="E579" s="28"/>
      <c r="F579" s="28"/>
      <c r="G579" s="28"/>
      <c r="H579" s="28"/>
      <c r="I579" s="28"/>
      <c r="J579" s="77"/>
    </row>
    <row r="580" spans="1:10">
      <c r="A580" s="31"/>
      <c r="B580" s="28"/>
      <c r="C580" s="28"/>
      <c r="D580" s="28">
        <f>D567*9.81*B567</f>
        <v>7548795.0000000009</v>
      </c>
      <c r="E580" s="28" t="s">
        <v>55</v>
      </c>
      <c r="F580" s="81">
        <f>D580/10^6</f>
        <v>7.548795000000001</v>
      </c>
      <c r="G580" s="28" t="s">
        <v>57</v>
      </c>
      <c r="H580" s="28"/>
      <c r="I580" s="28"/>
      <c r="J580" s="77"/>
    </row>
    <row r="581" spans="1:10">
      <c r="A581" s="31"/>
      <c r="B581" s="28"/>
      <c r="C581" s="28"/>
      <c r="D581" s="28"/>
      <c r="E581" s="28"/>
      <c r="F581" s="28"/>
      <c r="G581" s="28"/>
      <c r="H581" s="28"/>
      <c r="I581" s="28"/>
      <c r="J581" s="77"/>
    </row>
    <row r="582" spans="1:10">
      <c r="A582" s="31"/>
      <c r="B582" s="155" t="s">
        <v>56</v>
      </c>
      <c r="C582" s="155"/>
      <c r="D582" s="155"/>
      <c r="E582" s="155"/>
      <c r="F582" s="28"/>
      <c r="G582" s="28"/>
      <c r="H582" s="28"/>
      <c r="I582" s="28"/>
      <c r="J582" s="77"/>
    </row>
    <row r="583" spans="1:10">
      <c r="A583" s="31"/>
      <c r="B583" s="28"/>
      <c r="C583" s="28"/>
      <c r="D583" s="28"/>
      <c r="E583" s="28"/>
      <c r="F583" s="28"/>
      <c r="G583" s="28"/>
      <c r="H583" s="28"/>
      <c r="I583" s="28"/>
      <c r="J583" s="77"/>
    </row>
    <row r="584" spans="1:10">
      <c r="A584" s="31"/>
      <c r="B584" s="28"/>
      <c r="C584" s="28"/>
      <c r="D584" s="28">
        <f>(B567-C567)*9.81*D567</f>
        <v>838755</v>
      </c>
      <c r="E584" s="28" t="str">
        <f>E580</f>
        <v>Па</v>
      </c>
      <c r="F584" s="81">
        <f>D584/10^6</f>
        <v>0.83875500000000003</v>
      </c>
      <c r="G584" s="28" t="str">
        <f>G580</f>
        <v>МПа</v>
      </c>
      <c r="H584" s="28"/>
      <c r="I584" s="28"/>
      <c r="J584" s="77"/>
    </row>
    <row r="585" spans="1:10">
      <c r="A585" s="31"/>
      <c r="B585" s="28"/>
      <c r="C585" s="28"/>
      <c r="D585" s="28"/>
      <c r="E585" s="28"/>
      <c r="F585" s="28"/>
      <c r="G585" s="28"/>
      <c r="H585" s="28"/>
      <c r="I585" s="28"/>
      <c r="J585" s="77"/>
    </row>
    <row r="586" spans="1:10">
      <c r="A586" s="31"/>
      <c r="B586" s="155" t="s">
        <v>58</v>
      </c>
      <c r="C586" s="155"/>
      <c r="D586" s="155"/>
      <c r="E586" s="155"/>
      <c r="F586" s="28"/>
      <c r="G586" s="28"/>
      <c r="H586" s="28"/>
      <c r="I586" s="28"/>
      <c r="J586" s="77"/>
    </row>
    <row r="587" spans="1:10">
      <c r="A587" s="31"/>
      <c r="B587" s="28"/>
      <c r="C587" s="28"/>
      <c r="D587" s="28"/>
      <c r="E587" s="28"/>
      <c r="F587" s="28"/>
      <c r="G587" s="28"/>
      <c r="H587" s="28"/>
      <c r="I587" s="28"/>
      <c r="J587" s="77"/>
    </row>
    <row r="588" spans="1:10">
      <c r="A588" s="31"/>
      <c r="B588" s="28"/>
      <c r="C588" s="28" t="s">
        <v>59</v>
      </c>
      <c r="D588" s="90">
        <f>F588*10^6</f>
        <v>7010040.0000000009</v>
      </c>
      <c r="E588" s="28" t="str">
        <f>E584</f>
        <v>Па</v>
      </c>
      <c r="F588" s="81">
        <f>F580+E567-F584</f>
        <v>7.0100400000000009</v>
      </c>
      <c r="G588" s="28" t="str">
        <f>G584</f>
        <v>МПа</v>
      </c>
      <c r="H588" s="28"/>
      <c r="I588" s="28"/>
      <c r="J588" s="77"/>
    </row>
    <row r="589" spans="1:10">
      <c r="A589" s="31"/>
      <c r="B589" s="28"/>
      <c r="C589" s="28"/>
      <c r="D589" s="28"/>
      <c r="E589" s="28"/>
      <c r="F589" s="28"/>
      <c r="G589" s="28"/>
      <c r="H589" s="28"/>
      <c r="I589" s="28"/>
      <c r="J589" s="77"/>
    </row>
    <row r="590" spans="1:10">
      <c r="A590" s="170" t="s">
        <v>79</v>
      </c>
      <c r="B590" s="171"/>
      <c r="C590" s="171"/>
      <c r="D590" s="171"/>
      <c r="E590" s="171"/>
      <c r="F590" s="171"/>
      <c r="G590" s="171"/>
      <c r="H590" s="171"/>
      <c r="I590" s="28"/>
      <c r="J590" s="77"/>
    </row>
    <row r="591" spans="1:10">
      <c r="A591" s="170"/>
      <c r="B591" s="171"/>
      <c r="C591" s="171"/>
      <c r="D591" s="171"/>
      <c r="E591" s="171"/>
      <c r="F591" s="171"/>
      <c r="G591" s="171"/>
      <c r="H591" s="171"/>
      <c r="I591" s="28"/>
      <c r="J591" s="77"/>
    </row>
    <row r="592" spans="1:10">
      <c r="A592" s="31"/>
      <c r="B592" s="28"/>
      <c r="C592" s="28"/>
      <c r="D592" s="28"/>
      <c r="E592" s="28"/>
      <c r="F592" s="28"/>
      <c r="G592" s="28"/>
      <c r="H592" s="28"/>
      <c r="I592" s="28"/>
      <c r="J592" s="77"/>
    </row>
    <row r="593" spans="1:10">
      <c r="A593" s="31"/>
      <c r="B593" s="28"/>
      <c r="C593" s="28"/>
      <c r="D593" s="81">
        <f>(1+1000/G567)/(SQRT(1-(1/I567)^2))</f>
        <v>1.4849242404917498</v>
      </c>
      <c r="E593" s="28"/>
      <c r="F593" s="28"/>
      <c r="G593" s="28"/>
      <c r="H593" s="28"/>
      <c r="I593" s="28"/>
      <c r="J593" s="77"/>
    </row>
    <row r="594" spans="1:10">
      <c r="A594" s="31"/>
      <c r="B594" s="28"/>
      <c r="C594" s="28"/>
      <c r="D594" s="28"/>
      <c r="E594" s="28"/>
      <c r="F594" s="28"/>
      <c r="G594" s="28"/>
      <c r="H594" s="28"/>
      <c r="I594" s="28"/>
      <c r="J594" s="77"/>
    </row>
    <row r="595" spans="1:10">
      <c r="A595" s="31"/>
      <c r="B595" s="28"/>
      <c r="C595" s="28"/>
      <c r="D595" s="28"/>
      <c r="E595" s="28"/>
      <c r="F595" s="28"/>
      <c r="G595" s="28"/>
      <c r="H595" s="28"/>
      <c r="I595" s="28"/>
      <c r="J595" s="77"/>
    </row>
    <row r="596" spans="1:10">
      <c r="A596" s="31"/>
      <c r="B596" s="28"/>
      <c r="C596" s="28"/>
      <c r="D596" s="81">
        <f>PI()/30*H567</f>
        <v>1.0681415022205296</v>
      </c>
      <c r="E596" s="28"/>
      <c r="F596" s="28"/>
      <c r="G596" s="28"/>
      <c r="H596" s="28"/>
      <c r="I596" s="28"/>
      <c r="J596" s="77"/>
    </row>
    <row r="597" spans="1:10">
      <c r="A597" s="31"/>
      <c r="B597" s="28"/>
      <c r="C597" s="28"/>
      <c r="D597" s="28"/>
      <c r="E597" s="28"/>
      <c r="F597" s="28"/>
      <c r="G597" s="28"/>
      <c r="H597" s="28"/>
      <c r="I597" s="28"/>
      <c r="J597" s="77"/>
    </row>
    <row r="598" spans="1:10">
      <c r="A598" s="31"/>
      <c r="B598" s="155" t="s">
        <v>86</v>
      </c>
      <c r="C598" s="155"/>
      <c r="D598" s="155"/>
      <c r="E598" s="155"/>
      <c r="F598" s="155"/>
      <c r="G598" s="28"/>
      <c r="H598" s="28"/>
      <c r="I598" s="28"/>
      <c r="J598" s="77"/>
    </row>
    <row r="599" spans="1:10">
      <c r="A599" s="96" t="s">
        <v>76</v>
      </c>
      <c r="B599" s="28">
        <v>500</v>
      </c>
      <c r="C599" s="12" t="s">
        <v>20</v>
      </c>
      <c r="D599" s="12" t="s">
        <v>77</v>
      </c>
      <c r="E599" s="12">
        <f>B567-B599</f>
        <v>400</v>
      </c>
      <c r="F599" s="12" t="s">
        <v>20</v>
      </c>
      <c r="G599" s="28"/>
      <c r="H599" s="28"/>
      <c r="I599" s="28"/>
      <c r="J599" s="77"/>
    </row>
    <row r="600" spans="1:10">
      <c r="A600" s="31"/>
      <c r="B600" s="12"/>
      <c r="C600" s="12"/>
      <c r="D600" s="12"/>
      <c r="E600" s="12"/>
      <c r="F600" s="12"/>
      <c r="G600" s="28"/>
      <c r="H600" s="28"/>
      <c r="I600" s="28"/>
      <c r="J600" s="77"/>
    </row>
    <row r="601" spans="1:10">
      <c r="A601" s="31"/>
      <c r="B601" s="155" t="s">
        <v>72</v>
      </c>
      <c r="C601" s="155"/>
      <c r="D601" s="155"/>
      <c r="E601" s="155"/>
      <c r="F601" s="155"/>
      <c r="G601" s="155"/>
      <c r="H601" s="155"/>
      <c r="I601" s="28"/>
      <c r="J601" s="77"/>
    </row>
    <row r="602" spans="1:10">
      <c r="A602" s="31"/>
      <c r="B602" s="28"/>
      <c r="C602" s="28"/>
      <c r="D602" s="28"/>
      <c r="E602" s="28"/>
      <c r="F602" s="28"/>
      <c r="G602" s="28"/>
      <c r="H602" s="28"/>
      <c r="I602" s="28"/>
      <c r="J602" s="77"/>
    </row>
    <row r="603" spans="1:10">
      <c r="A603" s="31"/>
      <c r="B603" s="28"/>
      <c r="C603" s="28"/>
      <c r="D603" s="28"/>
      <c r="E603" s="28"/>
      <c r="F603" s="28">
        <f>11500/2*A567^2/F568^2*D588/(9.81*D567)+D593*7850*D596^2*I567/2*B599</f>
        <v>40009925.438320421</v>
      </c>
      <c r="G603" s="28" t="str">
        <f>E584</f>
        <v>Па</v>
      </c>
      <c r="H603" s="81">
        <f>F603/10^6</f>
        <v>40.009925438320423</v>
      </c>
      <c r="I603" s="28" t="str">
        <f>G584</f>
        <v>МПа</v>
      </c>
      <c r="J603" s="77"/>
    </row>
    <row r="604" spans="1:10">
      <c r="A604" s="31"/>
      <c r="B604" s="28"/>
      <c r="C604" s="28"/>
      <c r="D604" s="28"/>
      <c r="E604" s="28"/>
      <c r="F604" s="28"/>
      <c r="G604" s="28"/>
      <c r="H604" s="81"/>
      <c r="I604" s="28"/>
      <c r="J604" s="77"/>
    </row>
    <row r="605" spans="1:10">
      <c r="A605" s="31"/>
      <c r="B605" s="28"/>
      <c r="C605" s="28"/>
      <c r="D605" s="28"/>
      <c r="E605" s="28"/>
      <c r="F605" s="28"/>
      <c r="G605" s="28"/>
      <c r="H605" s="81"/>
      <c r="I605" s="28"/>
      <c r="J605" s="77"/>
    </row>
    <row r="606" spans="1:10">
      <c r="A606" s="31"/>
      <c r="B606" s="155" t="s">
        <v>70</v>
      </c>
      <c r="C606" s="155"/>
      <c r="D606" s="155"/>
      <c r="E606" s="28"/>
      <c r="F606" s="28"/>
      <c r="G606" s="28"/>
      <c r="H606" s="81"/>
      <c r="I606" s="28"/>
      <c r="J606" s="77"/>
    </row>
    <row r="607" spans="1:10">
      <c r="A607" s="31"/>
      <c r="B607" s="12"/>
      <c r="C607" s="12"/>
      <c r="D607" s="12"/>
      <c r="E607" s="28"/>
      <c r="F607" s="28"/>
      <c r="G607" s="28"/>
      <c r="H607" s="81"/>
      <c r="I607" s="28"/>
      <c r="J607" s="77"/>
    </row>
    <row r="608" spans="1:10">
      <c r="A608" s="31"/>
      <c r="B608" s="12"/>
      <c r="C608" s="28" t="s">
        <v>73</v>
      </c>
      <c r="D608" s="28">
        <f>PI()/4*(F568/1000)^2</f>
        <v>2.0106192982974675E-4</v>
      </c>
      <c r="E608" s="28" t="s">
        <v>26</v>
      </c>
      <c r="F608" s="28"/>
      <c r="G608" s="28"/>
      <c r="H608" s="81"/>
      <c r="I608" s="28"/>
      <c r="J608" s="77"/>
    </row>
    <row r="609" spans="1:10">
      <c r="A609" s="31"/>
      <c r="B609" s="12"/>
      <c r="C609" s="28" t="s">
        <v>74</v>
      </c>
      <c r="D609" s="28">
        <f>PI()/4*(F567/1000)^2</f>
        <v>2.835287369864788E-4</v>
      </c>
      <c r="E609" s="28" t="str">
        <f>E608</f>
        <v>м2</v>
      </c>
      <c r="F609" s="28"/>
      <c r="G609" s="28"/>
      <c r="H609" s="81"/>
      <c r="I609" s="28"/>
      <c r="J609" s="77"/>
    </row>
    <row r="610" spans="1:10">
      <c r="A610" s="31"/>
      <c r="B610" s="28"/>
      <c r="C610" s="28"/>
      <c r="D610" s="28"/>
      <c r="E610" s="28"/>
      <c r="F610" s="28"/>
      <c r="G610" s="28"/>
      <c r="H610" s="81"/>
      <c r="I610" s="28"/>
      <c r="J610" s="77"/>
    </row>
    <row r="611" spans="1:10">
      <c r="A611" s="31"/>
      <c r="B611" s="28"/>
      <c r="C611" s="28"/>
      <c r="D611" s="28"/>
      <c r="E611" s="28"/>
      <c r="F611" s="28">
        <f>7850*9.81*B599*D608</f>
        <v>7741.7388116470265</v>
      </c>
      <c r="G611" s="28" t="s">
        <v>22</v>
      </c>
      <c r="H611" s="81">
        <f>F611/10^3</f>
        <v>7.7417388116470267</v>
      </c>
      <c r="I611" s="28" t="s">
        <v>87</v>
      </c>
      <c r="J611" s="77"/>
    </row>
    <row r="612" spans="1:10">
      <c r="A612" s="31"/>
      <c r="B612" s="28"/>
      <c r="C612" s="28"/>
      <c r="D612" s="28"/>
      <c r="E612" s="28"/>
      <c r="F612" s="28"/>
      <c r="G612" s="28"/>
      <c r="H612" s="81"/>
      <c r="I612" s="28"/>
      <c r="J612" s="77"/>
    </row>
    <row r="613" spans="1:10">
      <c r="A613" s="31"/>
      <c r="B613" s="28"/>
      <c r="C613" s="28"/>
      <c r="D613" s="28"/>
      <c r="E613" s="28"/>
      <c r="F613" s="28">
        <f>7850*9.81*E599*D609</f>
        <v>8733.6490968893013</v>
      </c>
      <c r="G613" s="28" t="str">
        <f>G611</f>
        <v>H</v>
      </c>
      <c r="H613" s="81">
        <f>F613/10^3</f>
        <v>8.7336490968893017</v>
      </c>
      <c r="I613" s="28" t="str">
        <f>I611</f>
        <v>кН</v>
      </c>
      <c r="J613" s="77"/>
    </row>
    <row r="614" spans="1:10">
      <c r="A614" s="31"/>
      <c r="B614" s="28"/>
      <c r="C614" s="28"/>
      <c r="D614" s="28"/>
      <c r="E614" s="28"/>
      <c r="F614" s="28"/>
      <c r="G614" s="28"/>
      <c r="H614" s="28"/>
      <c r="I614" s="28"/>
      <c r="J614" s="77"/>
    </row>
    <row r="615" spans="1:10">
      <c r="A615" s="31"/>
      <c r="B615" s="155" t="s">
        <v>65</v>
      </c>
      <c r="C615" s="155"/>
      <c r="D615" s="155"/>
      <c r="E615" s="155"/>
      <c r="F615" s="28"/>
      <c r="G615" s="28"/>
      <c r="H615" s="81"/>
      <c r="I615" s="28"/>
      <c r="J615" s="77"/>
    </row>
    <row r="616" spans="1:10">
      <c r="A616" s="31"/>
      <c r="B616" s="28"/>
      <c r="C616" s="28"/>
      <c r="D616" s="28"/>
      <c r="E616" s="28"/>
      <c r="F616" s="28"/>
      <c r="G616" s="28"/>
      <c r="H616" s="81"/>
      <c r="I616" s="28"/>
      <c r="J616" s="77"/>
    </row>
    <row r="617" spans="1:10">
      <c r="A617" s="31"/>
      <c r="B617" s="28"/>
      <c r="C617" s="28"/>
      <c r="D617" s="28"/>
      <c r="E617" s="28"/>
      <c r="F617" s="28">
        <f>1.15*A567^2/(2*F568^2)*D588+F611/D608*(1-D567/7850)</f>
        <v>59502806.25</v>
      </c>
      <c r="G617" s="28" t="str">
        <f>G603</f>
        <v>Па</v>
      </c>
      <c r="H617" s="81">
        <f>F617/10^6</f>
        <v>59.502806249999999</v>
      </c>
      <c r="I617" s="28" t="str">
        <f>I603</f>
        <v>МПа</v>
      </c>
      <c r="J617" s="77"/>
    </row>
    <row r="618" spans="1:10">
      <c r="A618" s="31"/>
      <c r="B618" s="28"/>
      <c r="C618" s="28"/>
      <c r="D618" s="28"/>
      <c r="E618" s="28"/>
      <c r="F618" s="28"/>
      <c r="G618" s="28"/>
      <c r="H618" s="28"/>
      <c r="I618" s="28"/>
      <c r="J618" s="77"/>
    </row>
    <row r="619" spans="1:10">
      <c r="A619" s="31"/>
      <c r="B619" s="155" t="s">
        <v>67</v>
      </c>
      <c r="C619" s="155"/>
      <c r="D619" s="155"/>
      <c r="E619" s="28"/>
      <c r="F619" s="28"/>
      <c r="G619" s="28"/>
      <c r="H619" s="28"/>
      <c r="I619" s="28"/>
      <c r="J619" s="77"/>
    </row>
    <row r="620" spans="1:10">
      <c r="A620" s="31"/>
      <c r="B620" s="28"/>
      <c r="C620" s="28"/>
      <c r="D620" s="28"/>
      <c r="E620" s="28"/>
      <c r="F620" s="28"/>
      <c r="G620" s="28"/>
      <c r="H620" s="28"/>
      <c r="I620" s="28"/>
      <c r="J620" s="77"/>
    </row>
    <row r="621" spans="1:10">
      <c r="A621" s="31"/>
      <c r="B621" s="28"/>
      <c r="C621" s="28"/>
      <c r="D621" s="28">
        <f>F603+F617</f>
        <v>99512731.688320428</v>
      </c>
      <c r="E621" s="28" t="str">
        <f>G617</f>
        <v>Па</v>
      </c>
      <c r="F621" s="81">
        <f>D621/10^6</f>
        <v>99.512731688320429</v>
      </c>
      <c r="G621" s="28" t="str">
        <f>I617</f>
        <v>МПа</v>
      </c>
      <c r="H621" s="28"/>
      <c r="I621" s="28"/>
      <c r="J621" s="77"/>
    </row>
    <row r="622" spans="1:10">
      <c r="A622" s="31"/>
      <c r="B622" s="28"/>
      <c r="C622" s="28"/>
      <c r="D622" s="28"/>
      <c r="E622" s="28"/>
      <c r="F622" s="81"/>
      <c r="G622" s="28"/>
      <c r="H622" s="28"/>
      <c r="I622" s="28"/>
      <c r="J622" s="77"/>
    </row>
    <row r="623" spans="1:10">
      <c r="A623" s="31"/>
      <c r="B623" s="155" t="s">
        <v>68</v>
      </c>
      <c r="C623" s="155"/>
      <c r="D623" s="155"/>
      <c r="E623" s="28"/>
      <c r="F623" s="81"/>
      <c r="G623" s="28"/>
      <c r="H623" s="28"/>
      <c r="I623" s="28"/>
      <c r="J623" s="77"/>
    </row>
    <row r="624" spans="1:10">
      <c r="A624" s="31"/>
      <c r="B624" s="28"/>
      <c r="C624" s="28"/>
      <c r="D624" s="28"/>
      <c r="E624" s="28"/>
      <c r="F624" s="81"/>
      <c r="G624" s="28"/>
      <c r="H624" s="28"/>
      <c r="I624" s="28"/>
      <c r="J624" s="77"/>
    </row>
    <row r="625" spans="1:10">
      <c r="A625" s="31"/>
      <c r="B625" s="28"/>
      <c r="C625" s="28"/>
      <c r="D625" s="98">
        <f>SQRT(F603*D621)</f>
        <v>63099104.391530678</v>
      </c>
      <c r="E625" s="28" t="str">
        <f>E621</f>
        <v>Па</v>
      </c>
      <c r="F625" s="81">
        <f>SQRT(H603*F621)</f>
        <v>63.09910439153068</v>
      </c>
      <c r="G625" s="28" t="str">
        <f>G621</f>
        <v>МПа</v>
      </c>
      <c r="H625" s="28"/>
      <c r="I625" s="28"/>
      <c r="J625" s="77"/>
    </row>
    <row r="626" spans="1:10">
      <c r="A626" s="31"/>
      <c r="B626" s="28"/>
      <c r="C626" s="28"/>
      <c r="D626" s="28"/>
      <c r="E626" s="28"/>
      <c r="F626" s="28"/>
      <c r="G626" s="28"/>
      <c r="H626" s="28"/>
      <c r="I626" s="28"/>
      <c r="J626" s="77"/>
    </row>
    <row r="627" spans="1:10">
      <c r="A627" s="31"/>
      <c r="B627" s="155" t="s">
        <v>71</v>
      </c>
      <c r="C627" s="155"/>
      <c r="D627" s="155"/>
      <c r="E627" s="155"/>
      <c r="F627" s="155"/>
      <c r="G627" s="28"/>
      <c r="H627" s="28"/>
      <c r="I627" s="28"/>
      <c r="J627" s="77"/>
    </row>
    <row r="628" spans="1:10">
      <c r="A628" s="31"/>
      <c r="B628" s="28"/>
      <c r="C628" s="28"/>
      <c r="D628" s="28"/>
      <c r="E628" s="28"/>
      <c r="F628" s="28"/>
      <c r="G628" s="28"/>
      <c r="H628" s="28"/>
      <c r="I628" s="28"/>
      <c r="J628" s="77"/>
    </row>
    <row r="629" spans="1:10">
      <c r="A629" s="31"/>
      <c r="B629" s="28"/>
      <c r="C629" s="28"/>
      <c r="D629" s="28"/>
      <c r="E629" s="28"/>
      <c r="F629" s="28"/>
      <c r="G629" s="28"/>
      <c r="H629" s="28">
        <f>11500/2*A567^2*D588/(F567^2*D567*9.81)+D593*D596^2*I567*7850*(B599*F568^2+E599*F567^2)/(2*F567^2)</f>
        <v>36352320.041828424</v>
      </c>
      <c r="I629" s="28" t="str">
        <f>G617</f>
        <v>Па</v>
      </c>
      <c r="J629" s="77"/>
    </row>
    <row r="630" spans="1:10">
      <c r="A630" s="31"/>
      <c r="B630" s="28"/>
      <c r="C630" s="28"/>
      <c r="D630" s="28"/>
      <c r="E630" s="28"/>
      <c r="F630" s="28"/>
      <c r="G630" s="28"/>
      <c r="H630" s="28"/>
      <c r="I630" s="28"/>
      <c r="J630" s="77"/>
    </row>
    <row r="631" spans="1:10">
      <c r="A631" s="31"/>
      <c r="B631" s="28"/>
      <c r="C631" s="28"/>
      <c r="D631" s="28"/>
      <c r="E631" s="28"/>
      <c r="F631" s="28"/>
      <c r="G631" s="28"/>
      <c r="H631" s="81">
        <f>H629/10^6</f>
        <v>36.35232004182842</v>
      </c>
      <c r="I631" s="28" t="str">
        <f>I617</f>
        <v>МПа</v>
      </c>
      <c r="J631" s="77"/>
    </row>
    <row r="632" spans="1:10">
      <c r="A632" s="31"/>
      <c r="B632" s="28"/>
      <c r="C632" s="28"/>
      <c r="D632" s="28"/>
      <c r="E632" s="28"/>
      <c r="F632" s="28"/>
      <c r="G632" s="28"/>
      <c r="H632" s="28"/>
      <c r="I632" s="28"/>
      <c r="J632" s="77"/>
    </row>
    <row r="633" spans="1:10">
      <c r="A633" s="31"/>
      <c r="B633" s="28"/>
      <c r="C633" s="28"/>
      <c r="D633" s="28"/>
      <c r="E633" s="28"/>
      <c r="F633" s="28"/>
      <c r="G633" s="28"/>
      <c r="H633" s="28"/>
      <c r="I633" s="28"/>
      <c r="J633" s="77"/>
    </row>
    <row r="634" spans="1:10">
      <c r="A634" s="31"/>
      <c r="B634" s="28"/>
      <c r="C634" s="28"/>
      <c r="D634" s="28"/>
      <c r="E634" s="28"/>
      <c r="F634" s="28">
        <f>(F611+F613)/D609*(1-D567/7850)+1.15*A567^2/(2*F567^2)*D588</f>
        <v>69644275.844875365</v>
      </c>
      <c r="G634" s="28" t="str">
        <f>I629</f>
        <v>Па</v>
      </c>
      <c r="H634" s="81">
        <f>F634/10^6</f>
        <v>69.644275844875366</v>
      </c>
      <c r="I634" s="28" t="str">
        <f>I631</f>
        <v>МПа</v>
      </c>
      <c r="J634" s="77"/>
    </row>
    <row r="635" spans="1:10">
      <c r="A635" s="31"/>
      <c r="B635" s="28"/>
      <c r="C635" s="28"/>
      <c r="D635" s="28"/>
      <c r="E635" s="28"/>
      <c r="F635" s="28"/>
      <c r="G635" s="28"/>
      <c r="H635" s="28"/>
      <c r="I635" s="28"/>
      <c r="J635" s="77"/>
    </row>
    <row r="636" spans="1:10">
      <c r="A636" s="31"/>
      <c r="B636" s="155" t="s">
        <v>67</v>
      </c>
      <c r="C636" s="155"/>
      <c r="D636" s="155"/>
      <c r="E636" s="28"/>
      <c r="F636" s="28"/>
      <c r="G636" s="28"/>
      <c r="H636" s="28"/>
      <c r="I636" s="28"/>
      <c r="J636" s="77"/>
    </row>
    <row r="637" spans="1:10">
      <c r="A637" s="31"/>
      <c r="B637" s="28"/>
      <c r="C637" s="28"/>
      <c r="D637" s="28"/>
      <c r="E637" s="28"/>
      <c r="F637" s="28"/>
      <c r="G637" s="28"/>
      <c r="H637" s="28"/>
      <c r="I637" s="28"/>
      <c r="J637" s="77"/>
    </row>
    <row r="638" spans="1:10">
      <c r="A638" s="31"/>
      <c r="B638" s="28"/>
      <c r="C638" s="28"/>
      <c r="D638" s="28">
        <f>H629+F634</f>
        <v>105996595.88670379</v>
      </c>
      <c r="E638" s="28" t="str">
        <f>I629</f>
        <v>Па</v>
      </c>
      <c r="F638" s="81">
        <f>D638/10^6</f>
        <v>105.99659588670379</v>
      </c>
      <c r="G638" s="28" t="str">
        <f>I631</f>
        <v>МПа</v>
      </c>
      <c r="H638" s="28"/>
      <c r="I638" s="28"/>
      <c r="J638" s="77"/>
    </row>
    <row r="639" spans="1:10">
      <c r="A639" s="31"/>
      <c r="B639" s="28"/>
      <c r="C639" s="28"/>
      <c r="D639" s="28"/>
      <c r="E639" s="28"/>
      <c r="F639" s="81"/>
      <c r="G639" s="28"/>
      <c r="H639" s="28"/>
      <c r="I639" s="28"/>
      <c r="J639" s="77"/>
    </row>
    <row r="640" spans="1:10">
      <c r="A640" s="31"/>
      <c r="B640" s="155" t="s">
        <v>68</v>
      </c>
      <c r="C640" s="155"/>
      <c r="D640" s="155"/>
      <c r="E640" s="28"/>
      <c r="F640" s="81"/>
      <c r="G640" s="28"/>
      <c r="H640" s="28"/>
      <c r="I640" s="28"/>
      <c r="J640" s="77"/>
    </row>
    <row r="641" spans="1:10">
      <c r="A641" s="31"/>
      <c r="B641" s="28"/>
      <c r="C641" s="28"/>
      <c r="D641" s="28"/>
      <c r="E641" s="28"/>
      <c r="F641" s="81"/>
      <c r="G641" s="28"/>
      <c r="H641" s="28"/>
      <c r="I641" s="28"/>
      <c r="J641" s="77"/>
    </row>
    <row r="642" spans="1:10">
      <c r="A642" s="31"/>
      <c r="B642" s="28"/>
      <c r="C642" s="28"/>
      <c r="D642" s="90">
        <f>SQRT(H629*D638)</f>
        <v>62074327.84185271</v>
      </c>
      <c r="E642" s="28" t="str">
        <f>E638</f>
        <v>Па</v>
      </c>
      <c r="F642" s="81">
        <f>SQRT(H631*F638)</f>
        <v>62.074327841852707</v>
      </c>
      <c r="G642" s="28" t="str">
        <f>G638</f>
        <v>МПа</v>
      </c>
      <c r="H642" s="28"/>
      <c r="I642" s="28"/>
      <c r="J642" s="77"/>
    </row>
    <row r="643" spans="1:10">
      <c r="A643" s="31"/>
      <c r="B643" s="28"/>
      <c r="C643" s="28"/>
      <c r="D643" s="28"/>
      <c r="E643" s="28"/>
      <c r="F643" s="28"/>
      <c r="G643" s="28"/>
      <c r="H643" s="28"/>
      <c r="I643" s="28"/>
      <c r="J643" s="77"/>
    </row>
    <row r="644" spans="1:10" ht="18.75">
      <c r="A644" s="147" t="s">
        <v>88</v>
      </c>
      <c r="B644" s="148"/>
      <c r="C644" s="148"/>
      <c r="D644" s="148"/>
      <c r="E644" s="148"/>
      <c r="F644" s="148"/>
      <c r="G644" s="148"/>
      <c r="H644" s="148"/>
      <c r="I644" s="28"/>
      <c r="J644" s="77"/>
    </row>
    <row r="645" spans="1:10" ht="18">
      <c r="A645" s="31"/>
      <c r="B645" s="148" t="s">
        <v>89</v>
      </c>
      <c r="C645" s="148"/>
      <c r="D645" s="148"/>
      <c r="E645" s="28">
        <v>13</v>
      </c>
      <c r="F645" s="99" t="s">
        <v>90</v>
      </c>
      <c r="G645" s="28"/>
      <c r="H645" s="28"/>
      <c r="I645" s="28"/>
      <c r="J645" s="77"/>
    </row>
    <row r="646" spans="1:10">
      <c r="A646" s="31"/>
      <c r="B646" s="28"/>
      <c r="C646" s="28"/>
      <c r="D646" s="28"/>
      <c r="E646" s="28"/>
      <c r="F646" s="28"/>
      <c r="G646" s="28"/>
      <c r="H646" s="28"/>
      <c r="I646" s="28"/>
      <c r="J646" s="77"/>
    </row>
    <row r="647" spans="1:10">
      <c r="A647" s="31"/>
      <c r="B647" s="28"/>
      <c r="C647" s="81">
        <f>PI()*E645/30</f>
        <v>1.3613568165555772</v>
      </c>
      <c r="D647" s="28"/>
      <c r="E647" s="28"/>
      <c r="F647" s="28"/>
      <c r="G647" s="28"/>
      <c r="H647" s="28"/>
      <c r="I647" s="28"/>
      <c r="J647" s="77"/>
    </row>
    <row r="648" spans="1:10">
      <c r="A648" s="31"/>
      <c r="B648" s="28"/>
      <c r="C648" s="28"/>
      <c r="D648" s="28"/>
      <c r="E648" s="28"/>
      <c r="F648" s="28"/>
      <c r="G648" s="28"/>
      <c r="H648" s="28"/>
      <c r="I648" s="28"/>
      <c r="J648" s="77"/>
    </row>
    <row r="649" spans="1:10">
      <c r="A649" s="31"/>
      <c r="B649" s="28"/>
      <c r="C649" s="28"/>
      <c r="D649" s="28"/>
      <c r="E649" s="28"/>
      <c r="F649" s="28"/>
      <c r="G649" s="28"/>
      <c r="H649" s="28"/>
      <c r="I649" s="28"/>
      <c r="J649" s="77"/>
    </row>
    <row r="650" spans="1:10">
      <c r="A650" s="31"/>
      <c r="B650" s="28"/>
      <c r="C650" s="81">
        <f>C647*B567/5100</f>
        <v>0.2402394382156901</v>
      </c>
      <c r="D650" s="28"/>
      <c r="E650" s="28"/>
      <c r="F650" s="28"/>
      <c r="G650" s="28"/>
      <c r="H650" s="28"/>
      <c r="I650" s="28"/>
      <c r="J650" s="77"/>
    </row>
    <row r="651" spans="1:10">
      <c r="A651" s="31"/>
      <c r="B651" s="12"/>
      <c r="C651" s="12"/>
      <c r="D651" s="12"/>
      <c r="E651" s="12"/>
      <c r="F651" s="12"/>
      <c r="G651" s="28"/>
      <c r="H651" s="28"/>
      <c r="I651" s="28"/>
      <c r="J651" s="77"/>
    </row>
    <row r="652" spans="1:10">
      <c r="A652" s="31"/>
      <c r="B652" s="155" t="s">
        <v>72</v>
      </c>
      <c r="C652" s="155"/>
      <c r="D652" s="155"/>
      <c r="E652" s="155"/>
      <c r="F652" s="155"/>
      <c r="G652" s="155"/>
      <c r="H652" s="155"/>
      <c r="I652" s="28"/>
      <c r="J652" s="77"/>
    </row>
    <row r="653" spans="1:10">
      <c r="A653" s="31"/>
      <c r="B653" s="28"/>
      <c r="C653" s="28"/>
      <c r="D653" s="28"/>
      <c r="E653" s="28"/>
      <c r="F653" s="28"/>
      <c r="G653" s="28"/>
      <c r="H653" s="28"/>
      <c r="I653" s="28"/>
      <c r="J653" s="77"/>
    </row>
    <row r="654" spans="1:10">
      <c r="A654" s="31"/>
      <c r="B654" s="28"/>
      <c r="C654" s="28"/>
      <c r="D654" s="28"/>
      <c r="E654" s="28"/>
      <c r="F654" s="28">
        <f>11500/2*A567^2/F568^2*D588/(9.81*D567)+D593*7850*C647^2*I567/2*B599</f>
        <v>46237780.103707768</v>
      </c>
      <c r="G654" s="28" t="str">
        <f>E642</f>
        <v>Па</v>
      </c>
      <c r="H654" s="81">
        <f>F654/10^6</f>
        <v>46.23778010370777</v>
      </c>
      <c r="I654" s="28" t="str">
        <f>G642</f>
        <v>МПа</v>
      </c>
      <c r="J654" s="77"/>
    </row>
    <row r="655" spans="1:10">
      <c r="A655" s="31"/>
      <c r="B655" s="28"/>
      <c r="C655" s="28"/>
      <c r="D655" s="28"/>
      <c r="E655" s="28"/>
      <c r="F655" s="28"/>
      <c r="G655" s="28"/>
      <c r="H655" s="81"/>
      <c r="I655" s="28"/>
      <c r="J655" s="77"/>
    </row>
    <row r="656" spans="1:10">
      <c r="A656" s="31"/>
      <c r="B656" s="155" t="s">
        <v>65</v>
      </c>
      <c r="C656" s="155"/>
      <c r="D656" s="155"/>
      <c r="E656" s="155"/>
      <c r="F656" s="28"/>
      <c r="G656" s="28"/>
      <c r="H656" s="81"/>
      <c r="I656" s="28"/>
      <c r="J656" s="77"/>
    </row>
    <row r="657" spans="1:10">
      <c r="A657" s="31"/>
      <c r="B657" s="28"/>
      <c r="C657" s="28"/>
      <c r="D657" s="28"/>
      <c r="E657" s="28"/>
      <c r="F657" s="28"/>
      <c r="G657" s="28"/>
      <c r="H657" s="81"/>
      <c r="I657" s="28"/>
      <c r="J657" s="77"/>
    </row>
    <row r="658" spans="1:10">
      <c r="A658" s="31"/>
      <c r="B658" s="28"/>
      <c r="C658" s="28"/>
      <c r="D658" s="28"/>
      <c r="E658" s="28"/>
      <c r="F658" s="28">
        <f>1.15*A567^2/(2*F568^2)*D588+F611/D608*(1-D567/7850)</f>
        <v>59502806.25</v>
      </c>
      <c r="G658" s="28" t="str">
        <f>G654</f>
        <v>Па</v>
      </c>
      <c r="H658" s="81">
        <f>F658/10^6</f>
        <v>59.502806249999999</v>
      </c>
      <c r="I658" s="28" t="str">
        <f>I654</f>
        <v>МПа</v>
      </c>
      <c r="J658" s="77"/>
    </row>
    <row r="659" spans="1:10">
      <c r="A659" s="31"/>
      <c r="B659" s="28"/>
      <c r="C659" s="28"/>
      <c r="D659" s="28"/>
      <c r="E659" s="28"/>
      <c r="F659" s="28"/>
      <c r="G659" s="28"/>
      <c r="H659" s="28"/>
      <c r="I659" s="28"/>
      <c r="J659" s="77"/>
    </row>
    <row r="660" spans="1:10">
      <c r="A660" s="31"/>
      <c r="B660" s="155" t="s">
        <v>67</v>
      </c>
      <c r="C660" s="155"/>
      <c r="D660" s="155"/>
      <c r="E660" s="28"/>
      <c r="F660" s="28"/>
      <c r="G660" s="28"/>
      <c r="H660" s="28"/>
      <c r="I660" s="28"/>
      <c r="J660" s="77"/>
    </row>
    <row r="661" spans="1:10">
      <c r="A661" s="31"/>
      <c r="B661" s="28"/>
      <c r="C661" s="28"/>
      <c r="D661" s="28"/>
      <c r="E661" s="28"/>
      <c r="F661" s="28"/>
      <c r="G661" s="28"/>
      <c r="H661" s="28"/>
      <c r="I661" s="28"/>
      <c r="J661" s="77"/>
    </row>
    <row r="662" spans="1:10">
      <c r="A662" s="31"/>
      <c r="B662" s="28"/>
      <c r="C662" s="28"/>
      <c r="D662" s="28">
        <f>F654+F658</f>
        <v>105740586.35370776</v>
      </c>
      <c r="E662" s="28" t="str">
        <f>G658</f>
        <v>Па</v>
      </c>
      <c r="F662" s="81">
        <f>D662/10^6</f>
        <v>105.74058635370776</v>
      </c>
      <c r="G662" s="28" t="str">
        <f>I658</f>
        <v>МПа</v>
      </c>
      <c r="H662" s="28"/>
      <c r="I662" s="28"/>
      <c r="J662" s="77"/>
    </row>
    <row r="663" spans="1:10">
      <c r="A663" s="31"/>
      <c r="B663" s="28"/>
      <c r="C663" s="28"/>
      <c r="D663" s="28"/>
      <c r="E663" s="28"/>
      <c r="F663" s="81"/>
      <c r="G663" s="28"/>
      <c r="H663" s="28"/>
      <c r="I663" s="28"/>
      <c r="J663" s="77"/>
    </row>
    <row r="664" spans="1:10">
      <c r="A664" s="31"/>
      <c r="B664" s="155" t="s">
        <v>68</v>
      </c>
      <c r="C664" s="155"/>
      <c r="D664" s="155"/>
      <c r="E664" s="28"/>
      <c r="F664" s="81"/>
      <c r="G664" s="28"/>
      <c r="H664" s="28"/>
      <c r="I664" s="28"/>
      <c r="J664" s="77"/>
    </row>
    <row r="665" spans="1:10">
      <c r="A665" s="31"/>
      <c r="B665" s="28"/>
      <c r="C665" s="28"/>
      <c r="D665" s="28"/>
      <c r="E665" s="28"/>
      <c r="F665" s="81"/>
      <c r="G665" s="28"/>
      <c r="H665" s="28"/>
      <c r="I665" s="28"/>
      <c r="J665" s="77"/>
    </row>
    <row r="666" spans="1:10">
      <c r="A666" s="31"/>
      <c r="B666" s="28"/>
      <c r="C666" s="28"/>
      <c r="D666" s="98">
        <f>SQRT(F654*D662)</f>
        <v>69922885.952024758</v>
      </c>
      <c r="E666" s="28" t="str">
        <f>E662</f>
        <v>Па</v>
      </c>
      <c r="F666" s="81">
        <f>SQRT(H654*F662)</f>
        <v>69.922885952024757</v>
      </c>
      <c r="G666" s="28" t="str">
        <f>G662</f>
        <v>МПа</v>
      </c>
      <c r="H666" s="28"/>
      <c r="I666" s="28"/>
      <c r="J666" s="77"/>
    </row>
    <row r="667" spans="1:10">
      <c r="A667" s="31"/>
      <c r="B667" s="28"/>
      <c r="C667" s="28"/>
      <c r="D667" s="28"/>
      <c r="E667" s="28"/>
      <c r="F667" s="28"/>
      <c r="G667" s="28"/>
      <c r="H667" s="28"/>
      <c r="I667" s="28"/>
      <c r="J667" s="77"/>
    </row>
    <row r="668" spans="1:10">
      <c r="A668" s="31"/>
      <c r="B668" s="155" t="s">
        <v>71</v>
      </c>
      <c r="C668" s="155"/>
      <c r="D668" s="155"/>
      <c r="E668" s="155"/>
      <c r="F668" s="155"/>
      <c r="G668" s="28"/>
      <c r="H668" s="28"/>
      <c r="I668" s="28"/>
      <c r="J668" s="77"/>
    </row>
    <row r="669" spans="1:10">
      <c r="A669" s="31"/>
      <c r="B669" s="28"/>
      <c r="C669" s="28"/>
      <c r="D669" s="28"/>
      <c r="E669" s="28"/>
      <c r="F669" s="28"/>
      <c r="G669" s="28"/>
      <c r="H669" s="28"/>
      <c r="I669" s="28"/>
      <c r="J669" s="77"/>
    </row>
    <row r="670" spans="1:10">
      <c r="A670" s="31"/>
      <c r="B670" s="28"/>
      <c r="C670" s="28"/>
      <c r="D670" s="28"/>
      <c r="E670" s="28"/>
      <c r="F670" s="28"/>
      <c r="G670" s="28"/>
      <c r="H670" s="28">
        <f>11500/2*A567^2*D588/(F567^2*D567*9.81)+D593*C647^2*I567*7850*(B599*F568^2+E599*F567^2)/(2*F567^2)</f>
        <v>45751032.567321569</v>
      </c>
      <c r="I670" s="28" t="str">
        <f>G658</f>
        <v>Па</v>
      </c>
      <c r="J670" s="77"/>
    </row>
    <row r="671" spans="1:10">
      <c r="A671" s="31"/>
      <c r="B671" s="28"/>
      <c r="C671" s="28"/>
      <c r="D671" s="28"/>
      <c r="E671" s="28"/>
      <c r="F671" s="28"/>
      <c r="G671" s="28"/>
      <c r="H671" s="28"/>
      <c r="I671" s="28"/>
      <c r="J671" s="77"/>
    </row>
    <row r="672" spans="1:10">
      <c r="A672" s="31"/>
      <c r="B672" s="28"/>
      <c r="C672" s="28"/>
      <c r="D672" s="28"/>
      <c r="E672" s="28"/>
      <c r="F672" s="28"/>
      <c r="G672" s="28"/>
      <c r="H672" s="81">
        <f>H670/10^6</f>
        <v>45.751032567321566</v>
      </c>
      <c r="I672" s="28" t="str">
        <f>I658</f>
        <v>МПа</v>
      </c>
      <c r="J672" s="77"/>
    </row>
    <row r="673" spans="1:10">
      <c r="A673" s="31"/>
      <c r="B673" s="28"/>
      <c r="C673" s="28"/>
      <c r="D673" s="28"/>
      <c r="E673" s="28"/>
      <c r="F673" s="28"/>
      <c r="G673" s="28"/>
      <c r="H673" s="28"/>
      <c r="I673" s="28"/>
      <c r="J673" s="77"/>
    </row>
    <row r="674" spans="1:10">
      <c r="A674" s="31"/>
      <c r="B674" s="28"/>
      <c r="C674" s="28"/>
      <c r="D674" s="28"/>
      <c r="E674" s="28"/>
      <c r="F674" s="28"/>
      <c r="G674" s="28"/>
      <c r="H674" s="28"/>
      <c r="I674" s="28"/>
      <c r="J674" s="77"/>
    </row>
    <row r="675" spans="1:10">
      <c r="A675" s="31"/>
      <c r="B675" s="28"/>
      <c r="C675" s="28"/>
      <c r="D675" s="28"/>
      <c r="E675" s="28"/>
      <c r="F675" s="28">
        <f>(F611+F613)/D609*(1-D567/7850)+1.15*A567^2/(2*F567^2)*D588</f>
        <v>69644275.844875365</v>
      </c>
      <c r="G675" s="28" t="str">
        <f>I670</f>
        <v>Па</v>
      </c>
      <c r="H675" s="81">
        <f>F675/10^6</f>
        <v>69.644275844875366</v>
      </c>
      <c r="I675" s="28" t="str">
        <f>I672</f>
        <v>МПа</v>
      </c>
      <c r="J675" s="77"/>
    </row>
    <row r="676" spans="1:10">
      <c r="A676" s="31"/>
      <c r="B676" s="28"/>
      <c r="C676" s="28"/>
      <c r="D676" s="28"/>
      <c r="E676" s="28"/>
      <c r="F676" s="28"/>
      <c r="G676" s="28"/>
      <c r="H676" s="28"/>
      <c r="I676" s="28"/>
      <c r="J676" s="77"/>
    </row>
    <row r="677" spans="1:10">
      <c r="A677" s="31"/>
      <c r="B677" s="155" t="s">
        <v>67</v>
      </c>
      <c r="C677" s="155"/>
      <c r="D677" s="155"/>
      <c r="E677" s="28"/>
      <c r="F677" s="28"/>
      <c r="G677" s="28"/>
      <c r="H677" s="28"/>
      <c r="I677" s="28"/>
      <c r="J677" s="77"/>
    </row>
    <row r="678" spans="1:10">
      <c r="A678" s="31"/>
      <c r="B678" s="28"/>
      <c r="C678" s="28"/>
      <c r="D678" s="28"/>
      <c r="E678" s="28"/>
      <c r="F678" s="28"/>
      <c r="G678" s="28"/>
      <c r="H678" s="28"/>
      <c r="I678" s="28"/>
      <c r="J678" s="77"/>
    </row>
    <row r="679" spans="1:10">
      <c r="A679" s="31"/>
      <c r="B679" s="28"/>
      <c r="C679" s="28"/>
      <c r="D679" s="28">
        <f>H670+F675</f>
        <v>115395308.41219693</v>
      </c>
      <c r="E679" s="28" t="str">
        <f>I670</f>
        <v>Па</v>
      </c>
      <c r="F679" s="81">
        <f>D679/10^6</f>
        <v>115.39530841219694</v>
      </c>
      <c r="G679" s="28" t="str">
        <f>I672</f>
        <v>МПа</v>
      </c>
      <c r="H679" s="28"/>
      <c r="I679" s="28"/>
      <c r="J679" s="77"/>
    </row>
    <row r="680" spans="1:10">
      <c r="A680" s="31"/>
      <c r="B680" s="28"/>
      <c r="C680" s="28"/>
      <c r="D680" s="28"/>
      <c r="E680" s="28"/>
      <c r="F680" s="81"/>
      <c r="G680" s="28"/>
      <c r="H680" s="28"/>
      <c r="I680" s="28"/>
      <c r="J680" s="77"/>
    </row>
    <row r="681" spans="1:10">
      <c r="A681" s="31"/>
      <c r="B681" s="155" t="s">
        <v>68</v>
      </c>
      <c r="C681" s="155"/>
      <c r="D681" s="155"/>
      <c r="E681" s="28"/>
      <c r="F681" s="81"/>
      <c r="G681" s="28"/>
      <c r="H681" s="28"/>
      <c r="I681" s="28"/>
      <c r="J681" s="77"/>
    </row>
    <row r="682" spans="1:10">
      <c r="A682" s="31"/>
      <c r="B682" s="28"/>
      <c r="C682" s="28"/>
      <c r="D682" s="28"/>
      <c r="E682" s="28"/>
      <c r="F682" s="81"/>
      <c r="G682" s="28"/>
      <c r="H682" s="28"/>
      <c r="I682" s="28"/>
      <c r="J682" s="77"/>
    </row>
    <row r="683" spans="1:10">
      <c r="A683" s="31"/>
      <c r="B683" s="28"/>
      <c r="C683" s="28"/>
      <c r="D683" s="90">
        <f>SQRT(H670*D679)</f>
        <v>72659854.894450068</v>
      </c>
      <c r="E683" s="28" t="str">
        <f>E679</f>
        <v>Па</v>
      </c>
      <c r="F683" s="81">
        <f>SQRT(H672*F679)</f>
        <v>72.659854894450064</v>
      </c>
      <c r="G683" s="28" t="str">
        <f>G679</f>
        <v>МПа</v>
      </c>
      <c r="H683" s="28"/>
      <c r="I683" s="28"/>
      <c r="J683" s="77"/>
    </row>
    <row r="684" spans="1:10">
      <c r="A684" s="31"/>
      <c r="B684" s="28"/>
      <c r="C684" s="28"/>
      <c r="D684" s="28"/>
      <c r="E684" s="28"/>
      <c r="F684" s="28"/>
      <c r="G684" s="28"/>
      <c r="H684" s="28"/>
      <c r="I684" s="28"/>
      <c r="J684" s="77"/>
    </row>
    <row r="685" spans="1:10" ht="16.5" thickBot="1">
      <c r="A685" s="175" t="s">
        <v>94</v>
      </c>
      <c r="B685" s="176"/>
      <c r="C685" s="176"/>
      <c r="D685" s="100">
        <f>E645</f>
        <v>13</v>
      </c>
      <c r="E685" s="176" t="s">
        <v>92</v>
      </c>
      <c r="F685" s="176"/>
      <c r="G685" s="176"/>
      <c r="H685" s="176"/>
      <c r="I685" s="176"/>
      <c r="J685" s="87"/>
    </row>
    <row r="686" spans="1:10">
      <c r="A686" s="177" t="s">
        <v>96</v>
      </c>
      <c r="B686" s="178"/>
      <c r="C686" s="178"/>
      <c r="D686" s="178"/>
      <c r="E686" s="178"/>
      <c r="F686" s="178"/>
      <c r="G686" s="178"/>
      <c r="H686" s="178"/>
      <c r="I686" s="178"/>
      <c r="J686" s="88"/>
    </row>
    <row r="687" spans="1:10">
      <c r="A687" s="170"/>
      <c r="B687" s="171"/>
      <c r="C687" s="171"/>
      <c r="D687" s="171"/>
      <c r="E687" s="171"/>
      <c r="F687" s="171"/>
      <c r="G687" s="171"/>
      <c r="H687" s="171"/>
      <c r="I687" s="171"/>
      <c r="J687" s="77"/>
    </row>
    <row r="688" spans="1:10" ht="16.5" thickBot="1">
      <c r="A688" s="31" t="s">
        <v>113</v>
      </c>
      <c r="B688" s="28"/>
      <c r="C688" s="28"/>
      <c r="D688" s="28"/>
      <c r="E688" s="28"/>
      <c r="F688" s="28"/>
      <c r="G688" s="28"/>
      <c r="H688" s="28"/>
      <c r="I688" s="28"/>
      <c r="J688" s="77"/>
    </row>
    <row r="689" spans="1:10" ht="63.75" thickBot="1">
      <c r="A689" s="33" t="s">
        <v>1</v>
      </c>
      <c r="B689" s="33" t="s">
        <v>2</v>
      </c>
      <c r="C689" s="33" t="s">
        <v>3</v>
      </c>
      <c r="D689" s="33" t="s">
        <v>4</v>
      </c>
      <c r="E689" s="33" t="s">
        <v>9</v>
      </c>
      <c r="F689" s="33" t="s">
        <v>49</v>
      </c>
      <c r="G689" s="33" t="s">
        <v>95</v>
      </c>
      <c r="H689" s="33" t="s">
        <v>62</v>
      </c>
      <c r="I689" s="33" t="s">
        <v>63</v>
      </c>
      <c r="J689" s="77"/>
    </row>
    <row r="690" spans="1:10" ht="16.5" thickBot="1">
      <c r="A690" s="33">
        <v>40</v>
      </c>
      <c r="B690" s="33">
        <v>1600</v>
      </c>
      <c r="C690" s="33">
        <v>1800</v>
      </c>
      <c r="D690" s="33">
        <v>880</v>
      </c>
      <c r="E690" s="91">
        <v>60</v>
      </c>
      <c r="F690" s="33">
        <v>22</v>
      </c>
      <c r="G690" s="78">
        <v>560</v>
      </c>
      <c r="H690" s="92">
        <v>10.199999999999999</v>
      </c>
      <c r="I690" s="78">
        <v>3</v>
      </c>
      <c r="J690" s="77"/>
    </row>
    <row r="691" spans="1:10" ht="16.5" thickBot="1">
      <c r="A691" s="31"/>
      <c r="B691" s="28"/>
      <c r="C691" s="28"/>
      <c r="D691" s="28"/>
      <c r="E691" s="28"/>
      <c r="F691" s="78">
        <v>19</v>
      </c>
      <c r="G691" s="78">
        <f>B690-G690</f>
        <v>1040</v>
      </c>
      <c r="H691" s="28"/>
      <c r="I691" s="28"/>
      <c r="J691" s="77"/>
    </row>
    <row r="692" spans="1:10">
      <c r="A692" s="31"/>
      <c r="B692" s="28"/>
      <c r="C692" s="28"/>
      <c r="D692" s="28"/>
      <c r="E692" s="28"/>
      <c r="F692" s="28"/>
      <c r="G692" s="28"/>
      <c r="H692" s="28"/>
      <c r="I692" s="28"/>
      <c r="J692" s="77"/>
    </row>
    <row r="693" spans="1:10">
      <c r="A693" s="154" t="s">
        <v>99</v>
      </c>
      <c r="B693" s="155"/>
      <c r="C693" s="155"/>
      <c r="D693" s="155"/>
      <c r="E693" s="155"/>
      <c r="F693" s="155"/>
      <c r="G693" s="155"/>
      <c r="H693" s="155"/>
      <c r="I693" s="155"/>
      <c r="J693" s="77"/>
    </row>
    <row r="694" spans="1:10">
      <c r="A694" s="96" t="s">
        <v>100</v>
      </c>
      <c r="B694" s="12">
        <v>70930</v>
      </c>
      <c r="C694" s="101" t="s">
        <v>103</v>
      </c>
      <c r="D694" s="12" t="s">
        <v>101</v>
      </c>
      <c r="E694" s="12">
        <v>26927</v>
      </c>
      <c r="F694" s="101" t="s">
        <v>102</v>
      </c>
      <c r="G694" s="12"/>
      <c r="H694" s="12"/>
      <c r="I694" s="12"/>
      <c r="J694" s="77"/>
    </row>
    <row r="695" spans="1:10">
      <c r="A695" s="154" t="s">
        <v>97</v>
      </c>
      <c r="B695" s="155"/>
      <c r="C695" s="155"/>
      <c r="D695" s="155"/>
      <c r="E695" s="155"/>
      <c r="F695" s="155"/>
      <c r="G695" s="155"/>
      <c r="H695" s="155"/>
      <c r="I695" s="155"/>
      <c r="J695" s="77"/>
    </row>
    <row r="696" spans="1:10">
      <c r="A696" s="31"/>
      <c r="B696" s="28"/>
      <c r="C696" s="28"/>
      <c r="D696" s="28"/>
      <c r="E696" s="28"/>
      <c r="F696" s="28"/>
      <c r="G696" s="28"/>
      <c r="H696" s="28"/>
      <c r="I696" s="28"/>
      <c r="J696" s="77"/>
    </row>
    <row r="697" spans="1:10">
      <c r="A697" s="31"/>
      <c r="B697" s="28" t="s">
        <v>98</v>
      </c>
      <c r="C697" s="28">
        <f>PI()/4*(F690/1000)^2</f>
        <v>3.8013271108436493E-4</v>
      </c>
      <c r="D697" s="28" t="s">
        <v>26</v>
      </c>
      <c r="E697" s="28"/>
      <c r="F697" s="28"/>
      <c r="G697" s="28"/>
      <c r="H697" s="28"/>
      <c r="I697" s="28"/>
      <c r="J697" s="77"/>
    </row>
    <row r="698" spans="1:10">
      <c r="A698" s="31"/>
      <c r="B698" s="28"/>
      <c r="C698" s="28"/>
      <c r="D698" s="28"/>
      <c r="E698" s="28"/>
      <c r="F698" s="28"/>
      <c r="G698" s="28"/>
      <c r="H698" s="28"/>
      <c r="I698" s="28"/>
      <c r="J698" s="77"/>
    </row>
    <row r="699" spans="1:10">
      <c r="A699" s="31"/>
      <c r="B699" s="28"/>
      <c r="C699" s="28">
        <f>B694/C697</f>
        <v>186592729.14889485</v>
      </c>
      <c r="D699" s="28" t="s">
        <v>55</v>
      </c>
      <c r="E699" s="81">
        <f>C699/10^6</f>
        <v>186.59272914889485</v>
      </c>
      <c r="F699" s="28" t="s">
        <v>57</v>
      </c>
      <c r="G699" s="28"/>
      <c r="H699" s="28"/>
      <c r="I699" s="28"/>
      <c r="J699" s="77"/>
    </row>
    <row r="700" spans="1:10">
      <c r="A700" s="31"/>
      <c r="B700" s="28"/>
      <c r="C700" s="28"/>
      <c r="D700" s="28"/>
      <c r="E700" s="28"/>
      <c r="F700" s="28"/>
      <c r="G700" s="28"/>
      <c r="H700" s="28"/>
      <c r="I700" s="28"/>
      <c r="J700" s="77"/>
    </row>
    <row r="701" spans="1:10">
      <c r="A701" s="31"/>
      <c r="B701" s="28"/>
      <c r="C701" s="28"/>
      <c r="D701" s="28"/>
      <c r="E701" s="28"/>
      <c r="F701" s="28"/>
      <c r="G701" s="28"/>
      <c r="H701" s="28"/>
      <c r="I701" s="28"/>
      <c r="J701" s="77"/>
    </row>
    <row r="702" spans="1:10">
      <c r="A702" s="102"/>
      <c r="B702" s="28"/>
      <c r="C702" s="28">
        <f>E694/C697</f>
        <v>70835787.646867216</v>
      </c>
      <c r="D702" s="28" t="str">
        <f>D699</f>
        <v>Па</v>
      </c>
      <c r="E702" s="81">
        <f>C702/10^6</f>
        <v>70.835787646867217</v>
      </c>
      <c r="F702" s="28" t="str">
        <f>F699</f>
        <v>МПа</v>
      </c>
      <c r="G702" s="28"/>
      <c r="H702" s="28"/>
      <c r="I702" s="28"/>
      <c r="J702" s="77"/>
    </row>
    <row r="703" spans="1:10">
      <c r="A703" s="31"/>
      <c r="B703" s="28"/>
      <c r="C703" s="28"/>
      <c r="D703" s="28"/>
      <c r="E703" s="28"/>
      <c r="F703" s="28"/>
      <c r="G703" s="28"/>
      <c r="H703" s="28"/>
      <c r="I703" s="28"/>
      <c r="J703" s="77"/>
    </row>
    <row r="704" spans="1:10">
      <c r="A704" s="31"/>
      <c r="B704" s="28"/>
      <c r="C704" s="28"/>
      <c r="D704" s="28"/>
      <c r="E704" s="28"/>
      <c r="F704" s="28"/>
      <c r="G704" s="28"/>
      <c r="H704" s="28"/>
      <c r="I704" s="28"/>
      <c r="J704" s="77"/>
    </row>
    <row r="705" spans="1:10">
      <c r="A705" s="31"/>
      <c r="B705" s="155" t="s">
        <v>104</v>
      </c>
      <c r="C705" s="155"/>
      <c r="D705" s="155"/>
      <c r="E705" s="155"/>
      <c r="F705" s="28"/>
      <c r="G705" s="28"/>
      <c r="H705" s="28"/>
      <c r="I705" s="28"/>
      <c r="J705" s="77"/>
    </row>
    <row r="706" spans="1:10">
      <c r="A706" s="31"/>
      <c r="B706" s="28"/>
      <c r="C706" s="28"/>
      <c r="D706" s="28"/>
      <c r="E706" s="28"/>
      <c r="F706" s="28"/>
      <c r="G706" s="28"/>
      <c r="H706" s="28"/>
      <c r="I706" s="28"/>
      <c r="J706" s="77"/>
    </row>
    <row r="707" spans="1:10">
      <c r="A707" s="31"/>
      <c r="B707" s="103"/>
      <c r="C707" s="28"/>
      <c r="D707" s="28">
        <f>(C699-C702)/2</f>
        <v>57878470.751013815</v>
      </c>
      <c r="E707" s="28" t="str">
        <f>D699</f>
        <v>Па</v>
      </c>
      <c r="F707" s="81">
        <f>D707/10^6</f>
        <v>57.878470751013815</v>
      </c>
      <c r="G707" s="28" t="str">
        <f>F702</f>
        <v>МПа</v>
      </c>
      <c r="H707" s="28"/>
      <c r="I707" s="28"/>
      <c r="J707" s="77"/>
    </row>
    <row r="708" spans="1:10">
      <c r="A708" s="31"/>
      <c r="B708" s="28"/>
      <c r="C708" s="28"/>
      <c r="D708" s="28"/>
      <c r="E708" s="28"/>
      <c r="F708" s="28"/>
      <c r="G708" s="28"/>
      <c r="H708" s="28"/>
      <c r="I708" s="28"/>
      <c r="J708" s="77"/>
    </row>
    <row r="709" spans="1:10">
      <c r="A709" s="31"/>
      <c r="B709" s="155" t="s">
        <v>68</v>
      </c>
      <c r="C709" s="155"/>
      <c r="D709" s="155"/>
      <c r="E709" s="28"/>
      <c r="F709" s="28"/>
      <c r="G709" s="28"/>
      <c r="H709" s="28"/>
      <c r="I709" s="28"/>
      <c r="J709" s="77"/>
    </row>
    <row r="710" spans="1:10">
      <c r="A710" s="31"/>
      <c r="B710" s="28"/>
      <c r="C710" s="28"/>
      <c r="D710" s="28"/>
      <c r="E710" s="28"/>
      <c r="F710" s="28"/>
      <c r="G710" s="28"/>
      <c r="H710" s="28"/>
      <c r="I710" s="28"/>
      <c r="J710" s="77"/>
    </row>
    <row r="711" spans="1:10">
      <c r="A711" s="31"/>
      <c r="B711" s="52"/>
      <c r="C711" s="28"/>
      <c r="D711" s="28">
        <f>SQRT(D707*C699)</f>
        <v>103921613.80769716</v>
      </c>
      <c r="E711" s="28" t="str">
        <f>E707</f>
        <v>Па</v>
      </c>
      <c r="F711" s="81">
        <f>D711/10^6</f>
        <v>103.92161380769716</v>
      </c>
      <c r="G711" s="28" t="str">
        <f>G707</f>
        <v>МПа</v>
      </c>
      <c r="H711" s="28"/>
      <c r="I711" s="28"/>
      <c r="J711" s="77"/>
    </row>
    <row r="712" spans="1:10">
      <c r="A712" s="31"/>
      <c r="B712" s="28"/>
      <c r="C712" s="28"/>
      <c r="D712" s="28"/>
      <c r="E712" s="28"/>
      <c r="F712" s="28"/>
      <c r="G712" s="28"/>
      <c r="H712" s="28"/>
      <c r="I712" s="28"/>
      <c r="J712" s="77"/>
    </row>
    <row r="713" spans="1:10">
      <c r="A713" s="160" t="s">
        <v>105</v>
      </c>
      <c r="B713" s="161"/>
      <c r="C713" s="161"/>
      <c r="D713" s="161"/>
      <c r="E713" s="161"/>
      <c r="F713" s="161"/>
      <c r="G713" s="161"/>
      <c r="H713" s="161"/>
      <c r="I713" s="161"/>
      <c r="J713" s="77"/>
    </row>
    <row r="714" spans="1:10">
      <c r="A714" s="160"/>
      <c r="B714" s="161"/>
      <c r="C714" s="161"/>
      <c r="D714" s="161"/>
      <c r="E714" s="161"/>
      <c r="F714" s="161"/>
      <c r="G714" s="161"/>
      <c r="H714" s="161"/>
      <c r="I714" s="161"/>
      <c r="J714" s="77"/>
    </row>
    <row r="715" spans="1:10">
      <c r="A715" s="160"/>
      <c r="B715" s="161"/>
      <c r="C715" s="161"/>
      <c r="D715" s="161"/>
      <c r="E715" s="161"/>
      <c r="F715" s="161"/>
      <c r="G715" s="161"/>
      <c r="H715" s="161"/>
      <c r="I715" s="161"/>
      <c r="J715" s="77"/>
    </row>
    <row r="716" spans="1:10">
      <c r="A716" s="160"/>
      <c r="B716" s="161"/>
      <c r="C716" s="161"/>
      <c r="D716" s="161"/>
      <c r="E716" s="161"/>
      <c r="F716" s="161"/>
      <c r="G716" s="161"/>
      <c r="H716" s="161"/>
      <c r="I716" s="161"/>
      <c r="J716" s="77"/>
    </row>
    <row r="717" spans="1:10">
      <c r="A717" s="31"/>
      <c r="B717" s="148" t="s">
        <v>106</v>
      </c>
      <c r="C717" s="148"/>
      <c r="D717" s="148"/>
      <c r="E717" s="148"/>
      <c r="F717" s="28"/>
      <c r="G717" s="28"/>
      <c r="H717" s="28"/>
      <c r="I717" s="28"/>
      <c r="J717" s="77"/>
    </row>
    <row r="718" spans="1:10">
      <c r="A718" s="31"/>
      <c r="B718" s="28"/>
      <c r="C718" s="28"/>
      <c r="D718" s="28"/>
      <c r="E718" s="28"/>
      <c r="F718" s="28"/>
      <c r="G718" s="28"/>
      <c r="H718" s="28"/>
      <c r="I718" s="28"/>
      <c r="J718" s="77"/>
    </row>
    <row r="719" spans="1:10">
      <c r="A719" s="147" t="s">
        <v>107</v>
      </c>
      <c r="B719" s="148"/>
      <c r="C719" s="148"/>
      <c r="D719" s="52"/>
      <c r="E719" s="81">
        <f>390/E699</f>
        <v>2.0901135954166405</v>
      </c>
      <c r="F719" s="28"/>
      <c r="G719" s="28"/>
      <c r="H719" s="28"/>
      <c r="I719" s="28"/>
      <c r="J719" s="77"/>
    </row>
    <row r="720" spans="1:10">
      <c r="A720" s="31"/>
      <c r="B720" s="28"/>
      <c r="C720" s="28"/>
      <c r="D720" s="28"/>
      <c r="E720" s="28"/>
      <c r="F720" s="28"/>
      <c r="G720" s="28"/>
      <c r="H720" s="28"/>
      <c r="I720" s="28"/>
      <c r="J720" s="77"/>
    </row>
    <row r="721" spans="1:10">
      <c r="A721" s="31"/>
      <c r="B721" s="28"/>
      <c r="C721" s="28"/>
      <c r="D721" s="28"/>
      <c r="E721" s="28"/>
      <c r="F721" s="28"/>
      <c r="G721" s="28"/>
      <c r="H721" s="28"/>
      <c r="I721" s="28"/>
      <c r="J721" s="77"/>
    </row>
    <row r="722" spans="1:10">
      <c r="A722" s="147" t="s">
        <v>108</v>
      </c>
      <c r="B722" s="148"/>
      <c r="C722" s="148"/>
      <c r="D722" s="28"/>
      <c r="E722" s="28">
        <f>320/E699</f>
        <v>1.7149650013675</v>
      </c>
      <c r="F722" s="28"/>
      <c r="G722" s="28"/>
      <c r="H722" s="28"/>
      <c r="I722" s="28"/>
      <c r="J722" s="77"/>
    </row>
    <row r="723" spans="1:10">
      <c r="A723" s="31"/>
      <c r="B723" s="28"/>
      <c r="C723" s="28"/>
      <c r="D723" s="28"/>
      <c r="E723" s="28"/>
      <c r="F723" s="28"/>
      <c r="G723" s="28"/>
      <c r="H723" s="28"/>
      <c r="I723" s="28"/>
      <c r="J723" s="77"/>
    </row>
    <row r="724" spans="1:10" ht="16.5" thickBot="1">
      <c r="A724" s="74"/>
      <c r="B724" s="75"/>
      <c r="C724" s="75"/>
      <c r="D724" s="75"/>
      <c r="E724" s="75"/>
      <c r="F724" s="75"/>
      <c r="G724" s="75"/>
      <c r="H724" s="75"/>
      <c r="I724" s="75"/>
      <c r="J724" s="87"/>
    </row>
  </sheetData>
  <mergeCells count="95">
    <mergeCell ref="A719:C719"/>
    <mergeCell ref="A722:C722"/>
    <mergeCell ref="A695:I695"/>
    <mergeCell ref="B705:E705"/>
    <mergeCell ref="B709:D709"/>
    <mergeCell ref="A713:I716"/>
    <mergeCell ref="B717:E717"/>
    <mergeCell ref="A685:C685"/>
    <mergeCell ref="E685:I685"/>
    <mergeCell ref="A686:I687"/>
    <mergeCell ref="A693:I693"/>
    <mergeCell ref="B660:D660"/>
    <mergeCell ref="B664:D664"/>
    <mergeCell ref="B668:F668"/>
    <mergeCell ref="B677:D677"/>
    <mergeCell ref="B681:D681"/>
    <mergeCell ref="B640:D640"/>
    <mergeCell ref="A644:H644"/>
    <mergeCell ref="B645:D645"/>
    <mergeCell ref="B652:H652"/>
    <mergeCell ref="B656:E656"/>
    <mergeCell ref="B615:E615"/>
    <mergeCell ref="B619:D619"/>
    <mergeCell ref="B623:D623"/>
    <mergeCell ref="B627:F627"/>
    <mergeCell ref="B636:D636"/>
    <mergeCell ref="B586:E586"/>
    <mergeCell ref="A590:H591"/>
    <mergeCell ref="B598:F598"/>
    <mergeCell ref="B601:H601"/>
    <mergeCell ref="B606:D606"/>
    <mergeCell ref="A569:E569"/>
    <mergeCell ref="A570:E570"/>
    <mergeCell ref="B574:F574"/>
    <mergeCell ref="A577:H578"/>
    <mergeCell ref="B582:E582"/>
    <mergeCell ref="B551:D551"/>
    <mergeCell ref="B555:D555"/>
    <mergeCell ref="A559:I560"/>
    <mergeCell ref="B561:D561"/>
    <mergeCell ref="A563:I564"/>
    <mergeCell ref="B518:D518"/>
    <mergeCell ref="B522:E522"/>
    <mergeCell ref="B526:D526"/>
    <mergeCell ref="B530:D530"/>
    <mergeCell ref="B534:F534"/>
    <mergeCell ref="B485:F485"/>
    <mergeCell ref="B502:D502"/>
    <mergeCell ref="B506:D506"/>
    <mergeCell ref="B510:F510"/>
    <mergeCell ref="B513:H513"/>
    <mergeCell ref="B464:H464"/>
    <mergeCell ref="B469:D469"/>
    <mergeCell ref="B473:E473"/>
    <mergeCell ref="B477:D477"/>
    <mergeCell ref="B481:D481"/>
    <mergeCell ref="B440:F440"/>
    <mergeCell ref="A443:H444"/>
    <mergeCell ref="B448:E448"/>
    <mergeCell ref="B452:E452"/>
    <mergeCell ref="A456:H457"/>
    <mergeCell ref="B421:D421"/>
    <mergeCell ref="B425:D425"/>
    <mergeCell ref="A429:I429"/>
    <mergeCell ref="A430:I430"/>
    <mergeCell ref="B436:D436"/>
    <mergeCell ref="B397:E397"/>
    <mergeCell ref="A401:H402"/>
    <mergeCell ref="B409:E409"/>
    <mergeCell ref="B413:E413"/>
    <mergeCell ref="B417:C417"/>
    <mergeCell ref="A376:I376"/>
    <mergeCell ref="B381:D381"/>
    <mergeCell ref="B385:F385"/>
    <mergeCell ref="A388:H389"/>
    <mergeCell ref="B393:E393"/>
    <mergeCell ref="A1:I3"/>
    <mergeCell ref="A15:I17"/>
    <mergeCell ref="A135:I137"/>
    <mergeCell ref="A305:F305"/>
    <mergeCell ref="A346:F346"/>
    <mergeCell ref="A290:J290"/>
    <mergeCell ref="A295:C295"/>
    <mergeCell ref="A297:C297"/>
    <mergeCell ref="A301:D301"/>
    <mergeCell ref="A335:G335"/>
    <mergeCell ref="A296:C296"/>
    <mergeCell ref="A309:G309"/>
    <mergeCell ref="A320:G320"/>
    <mergeCell ref="A328:G328"/>
    <mergeCell ref="A203:J205"/>
    <mergeCell ref="A364:E364"/>
    <mergeCell ref="B368:E368"/>
    <mergeCell ref="B371:E371"/>
    <mergeCell ref="B374:E374"/>
  </mergeCells>
  <phoneticPr fontId="16" type="noConversion"/>
  <pageMargins left="0.7" right="0.7" top="0.75" bottom="0.75" header="0.3" footer="0.3"/>
  <pageSetup paperSize="9" scale="73" orientation="portrait" horizontalDpi="180" verticalDpi="180" r:id="rId1"/>
  <rowBreaks count="1" manualBreakCount="1">
    <brk id="58" max="16383" man="1"/>
  </rowBreaks>
  <legacyDrawing r:id="rId2"/>
  <oleObjects>
    <oleObject progId="Equation.DSMT4" shapeId="1025" r:id="rId3"/>
    <oleObject progId="Equation.DSMT4" shapeId="1026" r:id="rId4"/>
    <oleObject progId="Equation.DSMT4" shapeId="1027" r:id="rId5"/>
    <oleObject progId="Equation.DSMT4" shapeId="1028" r:id="rId6"/>
    <oleObject progId="Equation.DSMT4" shapeId="1029" r:id="rId7"/>
    <oleObject progId="Equation.DSMT4" shapeId="1030" r:id="rId8"/>
    <oleObject progId="Equation.DSMT4" shapeId="1031" r:id="rId9"/>
    <oleObject progId="Equation.DSMT4" shapeId="1032" r:id="rId10"/>
    <oleObject progId="Equation.DSMT4" shapeId="1033" r:id="rId11"/>
    <oleObject progId="Equation.DSMT4" shapeId="1034" r:id="rId12"/>
    <oleObject progId="Equation.DSMT4" shapeId="1035" r:id="rId13"/>
    <oleObject progId="Equation.DSMT4" shapeId="1036" r:id="rId14"/>
    <oleObject progId="Equation.DSMT4" shapeId="1037" r:id="rId15"/>
    <oleObject progId="Equation.DSMT4" shapeId="1038" r:id="rId16"/>
    <oleObject progId="Equation.DSMT4" shapeId="1039" r:id="rId17"/>
    <oleObject progId="Equation.DSMT4" shapeId="1040" r:id="rId18"/>
    <oleObject progId="Equation.DSMT4" shapeId="1041" r:id="rId19"/>
    <oleObject progId="Equation.DSMT4" shapeId="1042" r:id="rId20"/>
    <oleObject progId="Equation.DSMT4" shapeId="1043" r:id="rId21"/>
    <oleObject progId="Equation.DSMT4" shapeId="1044" r:id="rId22"/>
    <oleObject progId="Equation.DSMT4" shapeId="1045" r:id="rId23"/>
    <oleObject progId="Equation.DSMT4" shapeId="1046" r:id="rId24"/>
    <oleObject progId="Equation.DSMT4" shapeId="1047" r:id="rId25"/>
    <oleObject progId="Equation.DSMT4" shapeId="1048" r:id="rId26"/>
    <oleObject progId="Equation.DSMT4" shapeId="1049" r:id="rId27"/>
    <oleObject progId="Equation.DSMT4" shapeId="1050" r:id="rId28"/>
    <oleObject progId="Equation.DSMT4" shapeId="1051" r:id="rId29"/>
    <oleObject progId="Equation.DSMT4" shapeId="1052" r:id="rId30"/>
    <oleObject progId="Equation.DSMT4" shapeId="1053" r:id="rId31"/>
    <oleObject progId="Equation.DSMT4" shapeId="1054" r:id="rId32"/>
    <oleObject progId="Equation.DSMT4" shapeId="1055" r:id="rId33"/>
    <oleObject progId="Equation.DSMT4" shapeId="1056" r:id="rId34"/>
    <oleObject progId="Equation.DSMT4" shapeId="1057" r:id="rId35"/>
    <oleObject progId="Equation.DSMT4" shapeId="1084" r:id="rId36"/>
    <oleObject progId="Equation.DSMT4" shapeId="1085" r:id="rId37"/>
    <oleObject progId="Equation.DSMT4" shapeId="1086" r:id="rId38"/>
    <oleObject progId="Equation.DSMT4" shapeId="1087" r:id="rId39"/>
    <oleObject progId="Equation.DSMT4" shapeId="1088" r:id="rId40"/>
    <oleObject progId="Equation.DSMT4" shapeId="1089" r:id="rId41"/>
    <oleObject progId="Equation.DSMT4" shapeId="1090" r:id="rId42"/>
    <oleObject progId="Equation.DSMT4" shapeId="1091" r:id="rId43"/>
    <oleObject progId="Equation.DSMT4" shapeId="1092" r:id="rId44"/>
    <oleObject progId="Equation.DSMT4" shapeId="1093" r:id="rId45"/>
    <oleObject progId="Equation.DSMT4" shapeId="1094" r:id="rId46"/>
    <oleObject progId="Equation.DSMT4" shapeId="1095" r:id="rId47"/>
    <oleObject progId="Equation.DSMT4" shapeId="1096" r:id="rId48"/>
    <oleObject progId="Equation.DSMT4" shapeId="1097" r:id="rId49"/>
    <oleObject progId="Equation.DSMT4" shapeId="1098" r:id="rId50"/>
    <oleObject progId="Equation.DSMT4" shapeId="1099" r:id="rId51"/>
    <oleObject progId="Equation.DSMT4" shapeId="1100" r:id="rId52"/>
    <oleObject progId="Equation.DSMT4" shapeId="1101" r:id="rId53"/>
    <oleObject progId="Equation.DSMT4" shapeId="1102" r:id="rId54"/>
    <oleObject progId="Equation.DSMT4" shapeId="1103" r:id="rId55"/>
    <oleObject progId="Equation.DSMT4" shapeId="1104" r:id="rId56"/>
    <oleObject progId="Equation.DSMT4" shapeId="1105" r:id="rId57"/>
    <oleObject progId="Equation.DSMT4" shapeId="1106" r:id="rId58"/>
    <oleObject progId="Equation.DSMT4" shapeId="1107" r:id="rId59"/>
    <oleObject progId="Equation.DSMT4" shapeId="1108" r:id="rId60"/>
    <oleObject progId="Equation.DSMT4" shapeId="1109" r:id="rId61"/>
    <oleObject progId="Equation.DSMT4" shapeId="1110" r:id="rId62"/>
    <oleObject progId="Equation.DSMT4" shapeId="1111" r:id="rId63"/>
    <oleObject progId="Equation.DSMT4" shapeId="1112" r:id="rId64"/>
    <oleObject progId="Equation.DSMT4" shapeId="1113" r:id="rId65"/>
    <oleObject progId="Equation.DSMT4" shapeId="1114" r:id="rId66"/>
    <oleObject progId="Equation.DSMT4" shapeId="1115" r:id="rId67"/>
    <oleObject progId="Equation.DSMT4" shapeId="1116" r:id="rId68"/>
    <oleObject progId="Equation.DSMT4" shapeId="1117" r:id="rId69"/>
    <oleObject progId="Equation.DSMT4" shapeId="1118" r:id="rId70"/>
    <oleObject progId="Equation.DSMT4" shapeId="1119" r:id="rId71"/>
    <oleObject progId="Equation.DSMT4" shapeId="1120" r:id="rId72"/>
    <oleObject progId="Equation.DSMT4" shapeId="1121" r:id="rId73"/>
    <oleObject progId="Equation.DSMT4" shapeId="1122" r:id="rId74"/>
    <oleObject progId="Equation.DSMT4" shapeId="1123" r:id="rId75"/>
    <oleObject progId="Equation.DSMT4" shapeId="1124" r:id="rId76"/>
    <oleObject progId="Equation.DSMT4" shapeId="1125" r:id="rId77"/>
    <oleObject progId="Equation.DSMT4" shapeId="1126" r:id="rId78"/>
    <oleObject progId="Equation.DSMT4" shapeId="1127" r:id="rId79"/>
    <oleObject progId="Equation.DSMT4" shapeId="1128" r:id="rId80"/>
    <oleObject progId="Equation.DSMT4" shapeId="1129" r:id="rId81"/>
    <oleObject progId="Equation.DSMT4" shapeId="1130" r:id="rId82"/>
    <oleObject progId="Equation.DSMT4" shapeId="1131" r:id="rId83"/>
    <oleObject progId="Equation.DSMT4" shapeId="1132" r:id="rId84"/>
    <oleObject progId="Equation.DSMT4" shapeId="1133" r:id="rId85"/>
    <oleObject progId="Equation.DSMT4" shapeId="1134" r:id="rId86"/>
    <oleObject progId="Equation.DSMT4" shapeId="1135" r:id="rId87"/>
    <oleObject progId="Equation.DSMT4" shapeId="1136" r:id="rId88"/>
    <oleObject progId="Equation.DSMT4" shapeId="1137" r:id="rId89"/>
    <oleObject progId="Equation.DSMT4" shapeId="1138" r:id="rId90"/>
    <oleObject progId="Equation.DSMT4" shapeId="1139" r:id="rId91"/>
    <oleObject progId="Equation.DSMT4" shapeId="1140" r:id="rId92"/>
    <oleObject progId="Equation.DSMT4" shapeId="1141" r:id="rId93"/>
    <oleObject progId="Equation.DSMT4" shapeId="1142" r:id="rId94"/>
    <oleObject progId="Equation.DSMT4" shapeId="1143" r:id="rId95"/>
    <oleObject progId="Equation.3" shapeId="1144" r:id="rId96"/>
    <oleObject progId="Equation.3" shapeId="1145" r:id="rId97"/>
    <oleObject progId="Equation.3" shapeId="1146" r:id="rId98"/>
    <oleObject progId="Equation.3" shapeId="1147" r:id="rId99"/>
    <oleObject progId="Equation.3" shapeId="1148" r:id="rId100"/>
    <oleObject progId="Equation.3" shapeId="1149" r:id="rId101"/>
    <oleObject progId="Equation.3" shapeId="1150" r:id="rId102"/>
    <oleObject progId="Equation.3" shapeId="1151" r:id="rId103"/>
    <oleObject progId="Equation.3" shapeId="1152" r:id="rId104"/>
    <oleObject progId="Equation.3" shapeId="1153" r:id="rId105"/>
    <oleObject progId="Equation.3" shapeId="1154" r:id="rId106"/>
    <oleObject progId="Equation.3" shapeId="1155" r:id="rId107"/>
    <oleObject progId="Equation.3" shapeId="1156" r:id="rId108"/>
    <oleObject progId="Equation.3" shapeId="1157" r:id="rId109"/>
    <oleObject progId="Equation.3" shapeId="1158" r:id="rId110"/>
    <oleObject progId="Equation.3" shapeId="1159" r:id="rId111"/>
    <oleObject progId="Equation.3" shapeId="1160" r:id="rId112"/>
    <oleObject progId="Equation.3" shapeId="1161" r:id="rId113"/>
    <oleObject progId="Equation.3" shapeId="1162" r:id="rId114"/>
    <oleObject progId="Equation.3" shapeId="1163" r:id="rId115"/>
    <oleObject progId="Equation.3" shapeId="1164" r:id="rId116"/>
    <oleObject progId="Equation.3" shapeId="1165" r:id="rId117"/>
    <oleObject progId="Equation.3" shapeId="1166" r:id="rId118"/>
    <oleObject progId="Equation.3" shapeId="1190" r:id="rId119"/>
    <oleObject progId="Equation.3" shapeId="1191" r:id="rId120"/>
    <oleObject progId="Equation.3" shapeId="1192" r:id="rId121"/>
    <oleObject progId="Equation.3" shapeId="1193" r:id="rId122"/>
    <oleObject progId="Equation.3" shapeId="1194" r:id="rId123"/>
    <oleObject progId="Equation.3" shapeId="1195" r:id="rId124"/>
    <oleObject progId="Equation.3" shapeId="1196" r:id="rId125"/>
    <oleObject progId="Equation.3" shapeId="1197" r:id="rId126"/>
    <oleObject progId="Equation.3" shapeId="1198" r:id="rId127"/>
    <oleObject progId="Equation.3" shapeId="1199" r:id="rId128"/>
    <oleObject progId="Equation.3" shapeId="1200" r:id="rId129"/>
    <oleObject progId="Equation.3" shapeId="1201" r:id="rId130"/>
    <oleObject progId="Equation.3" shapeId="1202" r:id="rId131"/>
    <oleObject progId="Equation.3" shapeId="1203" r:id="rId132"/>
    <oleObject progId="Equation.3" shapeId="1204" r:id="rId133"/>
    <oleObject progId="Equation.3" shapeId="1205" r:id="rId134"/>
    <oleObject progId="Equation.3" shapeId="1206" r:id="rId135"/>
    <oleObject progId="Equation.3" shapeId="1207" r:id="rId136"/>
    <oleObject progId="Equation.3" shapeId="1208" r:id="rId137"/>
    <oleObject progId="Equation.3" shapeId="1209" r:id="rId138"/>
    <oleObject progId="Equation.3" shapeId="1210" r:id="rId139"/>
    <oleObject progId="Equation.3" shapeId="1211" r:id="rId140"/>
    <oleObject progId="Equation.3" shapeId="1212" r:id="rId141"/>
    <oleObject progId="Equation.3" shapeId="1213" r:id="rId142"/>
    <oleObject progId="Equation.3" shapeId="1214" r:id="rId143"/>
    <oleObject progId="Equation.3" shapeId="1215" r:id="rId144"/>
    <oleObject progId="Equation.3" shapeId="1216" r:id="rId145"/>
    <oleObject progId="Equation.3" shapeId="1217" r:id="rId146"/>
    <oleObject progId="Equation.3" shapeId="1218" r:id="rId147"/>
    <oleObject progId="Equation.3" shapeId="1219" r:id="rId148"/>
    <oleObject progId="Equation.3" shapeId="1220" r:id="rId149"/>
    <oleObject progId="Equation.3" shapeId="1221" r:id="rId150"/>
    <oleObject progId="Equation.3" shapeId="1222" r:id="rId151"/>
    <oleObject progId="Equation.3" shapeId="1223" r:id="rId152"/>
    <oleObject progId="Equation.3" shapeId="1224" r:id="rId153"/>
    <oleObject progId="Equation.3" shapeId="1225" r:id="rId15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R256"/>
  <sheetViews>
    <sheetView topLeftCell="A121" workbookViewId="0">
      <selection activeCell="H53" sqref="H53"/>
    </sheetView>
  </sheetViews>
  <sheetFormatPr defaultRowHeight="15"/>
  <cols>
    <col min="1" max="1" width="13.7109375" style="134" customWidth="1"/>
    <col min="2" max="2" width="18.5703125" style="134" customWidth="1"/>
    <col min="3" max="3" width="10.7109375" style="134" customWidth="1"/>
    <col min="4" max="4" width="22.28515625" style="134" customWidth="1"/>
    <col min="5" max="5" width="11" style="134" customWidth="1"/>
    <col min="6" max="11" width="9.140625" style="134"/>
  </cols>
  <sheetData>
    <row r="1" spans="1:13" ht="16.5" thickBot="1">
      <c r="A1" s="104" t="s">
        <v>162</v>
      </c>
      <c r="B1" s="51"/>
      <c r="C1" s="51"/>
      <c r="D1" s="51"/>
      <c r="E1" s="51"/>
      <c r="F1" s="51"/>
      <c r="G1" s="51"/>
      <c r="H1" s="51"/>
      <c r="I1" s="51"/>
      <c r="J1" s="51"/>
      <c r="K1" s="105"/>
      <c r="L1" s="4"/>
      <c r="M1" s="4"/>
    </row>
    <row r="2" spans="1:13" ht="174" thickBot="1">
      <c r="A2" s="106" t="s">
        <v>114</v>
      </c>
      <c r="B2" s="106" t="s">
        <v>115</v>
      </c>
      <c r="C2" s="106" t="s">
        <v>116</v>
      </c>
      <c r="D2" s="106" t="s">
        <v>117</v>
      </c>
      <c r="E2" s="106" t="s">
        <v>118</v>
      </c>
      <c r="F2" s="106" t="s">
        <v>119</v>
      </c>
      <c r="G2" s="106" t="s">
        <v>120</v>
      </c>
      <c r="H2" s="106" t="s">
        <v>121</v>
      </c>
      <c r="I2" s="106" t="s">
        <v>122</v>
      </c>
      <c r="J2" s="106" t="s">
        <v>123</v>
      </c>
      <c r="K2" s="106" t="s">
        <v>124</v>
      </c>
      <c r="L2" s="4"/>
      <c r="M2" s="4"/>
    </row>
    <row r="3" spans="1:13" ht="15.75" customHeight="1" thickBot="1">
      <c r="A3" s="106">
        <v>168</v>
      </c>
      <c r="B3" s="106">
        <v>2300</v>
      </c>
      <c r="C3" s="106">
        <v>200</v>
      </c>
      <c r="D3" s="106">
        <v>1000</v>
      </c>
      <c r="E3" s="106">
        <v>80</v>
      </c>
      <c r="F3" s="106">
        <v>160</v>
      </c>
      <c r="G3" s="106">
        <f>6*10^-6</f>
        <v>6.0000000000000002E-6</v>
      </c>
      <c r="H3" s="106">
        <v>15</v>
      </c>
      <c r="I3" s="106">
        <v>0.6</v>
      </c>
      <c r="J3" s="106">
        <v>100</v>
      </c>
      <c r="K3" s="106">
        <v>920</v>
      </c>
      <c r="L3" s="4"/>
      <c r="M3" s="4"/>
    </row>
    <row r="4" spans="1:13" ht="31.5">
      <c r="A4" s="107" t="s">
        <v>125</v>
      </c>
      <c r="B4" s="108"/>
      <c r="C4" s="14">
        <v>1022</v>
      </c>
      <c r="D4" s="14" t="s">
        <v>17</v>
      </c>
      <c r="E4" s="14"/>
      <c r="F4" s="14"/>
      <c r="G4" s="14"/>
      <c r="H4" s="14"/>
      <c r="I4" s="14"/>
      <c r="J4" s="14"/>
      <c r="K4" s="21"/>
      <c r="L4" s="4"/>
      <c r="M4" s="4"/>
    </row>
    <row r="5" spans="1:13" ht="15.75">
      <c r="A5" s="107"/>
      <c r="B5" s="108"/>
      <c r="C5" s="14"/>
      <c r="D5" s="14"/>
      <c r="E5" s="14"/>
      <c r="F5" s="14">
        <v>1.3</v>
      </c>
      <c r="G5" s="14"/>
      <c r="H5" s="14"/>
      <c r="I5" s="14"/>
      <c r="J5" s="14"/>
      <c r="K5" s="21"/>
      <c r="L5" s="4"/>
      <c r="M5" s="4"/>
    </row>
    <row r="6" spans="1:13" ht="15.75">
      <c r="A6" s="93"/>
      <c r="B6" s="14"/>
      <c r="C6" s="14"/>
      <c r="D6" s="14"/>
      <c r="E6" s="14"/>
      <c r="F6" s="14"/>
      <c r="G6" s="14"/>
      <c r="H6" s="14"/>
      <c r="I6" s="14"/>
      <c r="J6" s="14"/>
      <c r="K6" s="21"/>
      <c r="L6" s="4"/>
      <c r="M6" s="4"/>
    </row>
    <row r="7" spans="1:13" ht="15.75">
      <c r="A7" s="93"/>
      <c r="B7" s="14"/>
      <c r="C7" s="109">
        <f>C3/(86400*F5)</f>
        <v>1.7806267806267807E-3</v>
      </c>
      <c r="D7" s="14" t="s">
        <v>26</v>
      </c>
      <c r="E7" s="14"/>
      <c r="F7" s="14"/>
      <c r="G7" s="14"/>
      <c r="H7" s="14"/>
      <c r="I7" s="14"/>
      <c r="J7" s="14"/>
      <c r="K7" s="21"/>
      <c r="L7" s="4"/>
      <c r="M7" s="4"/>
    </row>
    <row r="8" spans="1:13" ht="15.75">
      <c r="A8" s="110"/>
      <c r="B8" s="27"/>
      <c r="C8" s="27"/>
      <c r="D8" s="27"/>
      <c r="E8" s="27"/>
      <c r="F8" s="27"/>
      <c r="G8" s="14"/>
      <c r="H8" s="14"/>
      <c r="I8" s="14"/>
      <c r="J8" s="14"/>
      <c r="K8" s="21"/>
      <c r="L8" s="4"/>
      <c r="M8" s="4"/>
    </row>
    <row r="9" spans="1:13" ht="15.75">
      <c r="A9" s="93"/>
      <c r="B9" s="14"/>
      <c r="C9" s="14"/>
      <c r="D9" s="14"/>
      <c r="E9" s="14"/>
      <c r="F9" s="14"/>
      <c r="G9" s="14"/>
      <c r="H9" s="14"/>
      <c r="I9" s="14"/>
      <c r="J9" s="14"/>
      <c r="K9" s="21"/>
      <c r="L9" s="4"/>
      <c r="M9" s="4"/>
    </row>
    <row r="10" spans="1:13" ht="15.75">
      <c r="A10" s="93"/>
      <c r="B10" s="95"/>
      <c r="C10" s="14"/>
      <c r="D10" s="14"/>
      <c r="E10" s="14"/>
      <c r="F10" s="14"/>
      <c r="G10" s="14"/>
      <c r="H10" s="14"/>
      <c r="I10" s="14"/>
      <c r="J10" s="14"/>
      <c r="K10" s="21"/>
      <c r="L10" s="4"/>
      <c r="M10" s="4"/>
    </row>
    <row r="11" spans="1:13" ht="15.75">
      <c r="A11" s="93"/>
      <c r="B11" s="14"/>
      <c r="C11" s="14"/>
      <c r="D11" s="14"/>
      <c r="E11" s="14"/>
      <c r="F11" s="14"/>
      <c r="G11" s="14"/>
      <c r="H11" s="14"/>
      <c r="I11" s="14"/>
      <c r="J11" s="14"/>
      <c r="K11" s="21"/>
      <c r="L11" s="4"/>
      <c r="M11" s="4"/>
    </row>
    <row r="12" spans="1:13" ht="15.75">
      <c r="A12" s="111"/>
      <c r="B12" s="112"/>
      <c r="C12" s="113">
        <f>SQRT(C7/0.785)</f>
        <v>4.7626824061921223E-2</v>
      </c>
      <c r="D12" s="14" t="s">
        <v>20</v>
      </c>
      <c r="E12" s="113">
        <f>C12*1000</f>
        <v>47.626824061921226</v>
      </c>
      <c r="F12" s="14" t="s">
        <v>39</v>
      </c>
      <c r="G12" s="14"/>
      <c r="H12" s="14"/>
      <c r="I12" s="14"/>
      <c r="J12" s="14"/>
      <c r="K12" s="21"/>
      <c r="L12" s="4"/>
      <c r="M12" s="4"/>
    </row>
    <row r="13" spans="1:13" ht="15.75">
      <c r="A13" s="93"/>
      <c r="B13" s="14"/>
      <c r="C13" s="14"/>
      <c r="D13" s="14"/>
      <c r="E13" s="14"/>
      <c r="F13" s="14"/>
      <c r="G13" s="14"/>
      <c r="H13" s="14"/>
      <c r="I13" s="14"/>
      <c r="J13" s="14"/>
      <c r="K13" s="21"/>
      <c r="L13" s="4"/>
      <c r="M13" s="4"/>
    </row>
    <row r="14" spans="1:13" ht="15.75">
      <c r="A14" s="93"/>
      <c r="B14" s="95"/>
      <c r="C14" s="14"/>
      <c r="D14" s="14"/>
      <c r="E14" s="14" t="s">
        <v>126</v>
      </c>
      <c r="F14" s="14">
        <v>48</v>
      </c>
      <c r="G14" s="14" t="s">
        <v>127</v>
      </c>
      <c r="H14" s="14"/>
      <c r="I14" s="14"/>
      <c r="J14" s="14"/>
      <c r="K14" s="21"/>
      <c r="L14" s="4"/>
      <c r="M14" s="4"/>
    </row>
    <row r="15" spans="1:13" ht="15.75">
      <c r="A15" s="93"/>
      <c r="B15" s="14"/>
      <c r="C15" s="14"/>
      <c r="D15" s="14"/>
      <c r="E15" s="14"/>
      <c r="F15" s="14"/>
      <c r="G15" s="14"/>
      <c r="H15" s="14"/>
      <c r="I15" s="14"/>
      <c r="J15" s="14"/>
      <c r="K15" s="21"/>
      <c r="L15" s="4"/>
      <c r="M15" s="4"/>
    </row>
    <row r="16" spans="1:13" ht="15.75">
      <c r="A16" s="111"/>
      <c r="B16" s="112"/>
      <c r="C16" s="112"/>
      <c r="D16" s="112"/>
      <c r="E16" s="14"/>
      <c r="F16" s="14"/>
      <c r="G16" s="14"/>
      <c r="H16" s="14"/>
      <c r="I16" s="14"/>
      <c r="J16" s="14"/>
      <c r="K16" s="21"/>
      <c r="L16" s="4"/>
      <c r="M16" s="4"/>
    </row>
    <row r="17" spans="1:13" ht="15.75">
      <c r="A17" s="93"/>
      <c r="B17" s="14"/>
      <c r="C17" s="14"/>
      <c r="D17" s="14"/>
      <c r="E17" s="14"/>
      <c r="F17" s="14"/>
      <c r="G17" s="14"/>
      <c r="H17" s="14"/>
      <c r="I17" s="14"/>
      <c r="J17" s="14"/>
      <c r="K17" s="21"/>
      <c r="L17" s="4"/>
      <c r="M17" s="4"/>
    </row>
    <row r="18" spans="1:13" ht="15.75">
      <c r="A18" s="111"/>
      <c r="B18" s="112"/>
      <c r="C18" s="113">
        <f>C3/(86400*((F14/2000)^2)*3.1415)</f>
        <v>1.2792537705442013</v>
      </c>
      <c r="D18" s="14" t="s">
        <v>128</v>
      </c>
      <c r="E18" s="14"/>
      <c r="F18" s="14"/>
      <c r="G18" s="14"/>
      <c r="H18" s="14"/>
      <c r="I18" s="14"/>
      <c r="J18" s="14"/>
      <c r="K18" s="21"/>
      <c r="L18" s="4"/>
      <c r="M18" s="4"/>
    </row>
    <row r="19" spans="1:13" ht="15.75">
      <c r="A19" s="93"/>
      <c r="B19" s="14"/>
      <c r="C19" s="14"/>
      <c r="D19" s="14"/>
      <c r="E19" s="14"/>
      <c r="F19" s="14"/>
      <c r="G19" s="14"/>
      <c r="H19" s="14"/>
      <c r="I19" s="14"/>
      <c r="J19" s="14"/>
      <c r="K19" s="21"/>
      <c r="L19" s="4"/>
      <c r="M19" s="4"/>
    </row>
    <row r="20" spans="1:13" ht="15.75">
      <c r="A20" s="93"/>
      <c r="B20" s="112"/>
      <c r="C20" s="14"/>
      <c r="D20" s="14"/>
      <c r="E20" s="14"/>
      <c r="F20" s="14"/>
      <c r="G20" s="14"/>
      <c r="H20" s="14"/>
      <c r="I20" s="14"/>
      <c r="J20" s="14"/>
      <c r="K20" s="21"/>
      <c r="L20" s="4"/>
      <c r="M20" s="4"/>
    </row>
    <row r="21" spans="1:13" ht="15.75">
      <c r="A21" s="93"/>
      <c r="B21" s="14"/>
      <c r="C21" s="14"/>
      <c r="D21" s="14"/>
      <c r="E21" s="14"/>
      <c r="F21" s="14"/>
      <c r="G21" s="14"/>
      <c r="H21" s="14"/>
      <c r="I21" s="14"/>
      <c r="J21" s="14"/>
      <c r="K21" s="21"/>
      <c r="L21" s="4"/>
      <c r="M21" s="4"/>
    </row>
    <row r="22" spans="1:13" ht="15.75">
      <c r="A22" s="111"/>
      <c r="B22" s="112"/>
      <c r="C22" s="114">
        <f>C3*10^6/(E3*K3*9.81)</f>
        <v>277.00217169702609</v>
      </c>
      <c r="D22" s="14" t="s">
        <v>20</v>
      </c>
      <c r="E22" s="14"/>
      <c r="F22" s="14"/>
      <c r="G22" s="14"/>
      <c r="H22" s="14"/>
      <c r="I22" s="14"/>
      <c r="J22" s="14"/>
      <c r="K22" s="21"/>
      <c r="L22" s="4"/>
      <c r="M22" s="4"/>
    </row>
    <row r="23" spans="1:13" ht="15.75">
      <c r="A23" s="93"/>
      <c r="B23" s="14"/>
      <c r="C23" s="14"/>
      <c r="D23" s="14"/>
      <c r="E23" s="14"/>
      <c r="F23" s="14"/>
      <c r="G23" s="14"/>
      <c r="H23" s="14"/>
      <c r="I23" s="14"/>
      <c r="J23" s="14"/>
      <c r="K23" s="21"/>
      <c r="L23" s="4"/>
      <c r="M23" s="4"/>
    </row>
    <row r="24" spans="1:13" ht="15.75">
      <c r="A24" s="93"/>
      <c r="B24" s="112"/>
      <c r="C24" s="14"/>
      <c r="D24" s="14"/>
      <c r="E24" s="14"/>
      <c r="F24" s="14"/>
      <c r="G24" s="14"/>
      <c r="H24" s="14"/>
      <c r="I24" s="14"/>
      <c r="J24" s="14"/>
      <c r="K24" s="21"/>
      <c r="L24" s="4"/>
      <c r="M24" s="4"/>
    </row>
    <row r="25" spans="1:13" ht="15.75">
      <c r="A25" s="93"/>
      <c r="B25" s="14"/>
      <c r="C25" s="14"/>
      <c r="D25" s="14"/>
      <c r="E25" s="14"/>
      <c r="F25" s="14"/>
      <c r="G25" s="14"/>
      <c r="H25" s="14"/>
      <c r="I25" s="14"/>
      <c r="J25" s="14"/>
      <c r="K25" s="21"/>
      <c r="L25" s="4"/>
      <c r="M25" s="4"/>
    </row>
    <row r="26" spans="1:13" ht="15.75">
      <c r="A26" s="111"/>
      <c r="B26" s="112"/>
      <c r="C26" s="112"/>
      <c r="D26" s="52"/>
      <c r="E26" s="14"/>
      <c r="F26" s="14">
        <f>10*A3/0.1</f>
        <v>16800</v>
      </c>
      <c r="G26" s="14"/>
      <c r="H26" s="14"/>
      <c r="I26" s="14"/>
      <c r="J26" s="14"/>
      <c r="K26" s="21"/>
      <c r="L26" s="4"/>
      <c r="M26" s="4"/>
    </row>
    <row r="27" spans="1:13" ht="15.75">
      <c r="A27" s="93"/>
      <c r="B27" s="14"/>
      <c r="C27" s="114">
        <f>C18*F14/(1000*G3)</f>
        <v>10234.03016435361</v>
      </c>
      <c r="D27" s="14"/>
      <c r="E27" s="14"/>
      <c r="F27" s="14"/>
      <c r="G27" s="14"/>
      <c r="H27" s="14"/>
      <c r="I27" s="14"/>
      <c r="J27" s="14"/>
      <c r="K27" s="21"/>
      <c r="L27" s="4"/>
      <c r="M27" s="4"/>
    </row>
    <row r="28" spans="1:13" ht="15.75">
      <c r="A28" s="93"/>
      <c r="B28" s="112"/>
      <c r="C28" s="14"/>
      <c r="D28" s="14"/>
      <c r="E28" s="14"/>
      <c r="F28" s="14"/>
      <c r="G28" s="14"/>
      <c r="H28" s="14"/>
      <c r="I28" s="14"/>
      <c r="J28" s="14"/>
      <c r="K28" s="21"/>
      <c r="L28" s="4"/>
      <c r="M28" s="4"/>
    </row>
    <row r="29" spans="1:13" ht="15.75">
      <c r="A29" s="93"/>
      <c r="B29" s="14"/>
      <c r="C29" s="14"/>
      <c r="D29" s="14"/>
      <c r="E29" s="14"/>
      <c r="F29" s="14"/>
      <c r="G29" s="14"/>
      <c r="H29" s="14"/>
      <c r="I29" s="14"/>
      <c r="J29" s="14"/>
      <c r="K29" s="21"/>
      <c r="L29" s="4"/>
      <c r="M29" s="4"/>
    </row>
    <row r="30" spans="1:13" ht="15.75">
      <c r="A30" s="111"/>
      <c r="B30" s="112"/>
      <c r="C30" s="112"/>
      <c r="D30" s="112"/>
      <c r="E30" s="14"/>
      <c r="F30" s="14"/>
      <c r="G30" s="14"/>
      <c r="H30" s="14"/>
      <c r="I30" s="14"/>
      <c r="J30" s="14"/>
      <c r="K30" s="21"/>
      <c r="L30" s="4"/>
      <c r="M30" s="4"/>
    </row>
    <row r="31" spans="1:13" ht="15.75">
      <c r="A31" s="93"/>
      <c r="B31" s="14"/>
      <c r="C31" s="14"/>
      <c r="D31" s="14"/>
      <c r="E31" s="14"/>
      <c r="F31" s="14"/>
      <c r="G31" s="14"/>
      <c r="H31" s="14"/>
      <c r="I31" s="14"/>
      <c r="J31" s="14"/>
      <c r="K31" s="21"/>
      <c r="L31" s="4"/>
      <c r="M31" s="4"/>
    </row>
    <row r="32" spans="1:13" ht="15.75">
      <c r="A32" s="111"/>
      <c r="B32" s="112"/>
      <c r="C32" s="115">
        <f>0.3164/(C27^0.25)</f>
        <v>3.1457543197568306E-2</v>
      </c>
      <c r="D32" s="14"/>
      <c r="E32" s="14"/>
      <c r="F32" s="14"/>
      <c r="G32" s="14"/>
      <c r="H32" s="14"/>
      <c r="I32" s="14"/>
      <c r="J32" s="14"/>
      <c r="K32" s="21"/>
      <c r="L32" s="4"/>
      <c r="M32" s="4"/>
    </row>
    <row r="33" spans="1:13" ht="15.75">
      <c r="A33" s="93"/>
      <c r="B33" s="14"/>
      <c r="C33" s="14"/>
      <c r="D33" s="14"/>
      <c r="E33" s="14"/>
      <c r="F33" s="14"/>
      <c r="G33" s="14"/>
      <c r="H33" s="14"/>
      <c r="I33" s="14"/>
      <c r="J33" s="14"/>
      <c r="K33" s="21"/>
      <c r="L33" s="4"/>
      <c r="M33" s="4"/>
    </row>
    <row r="34" spans="1:13" ht="15.75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6"/>
      <c r="L34" s="4"/>
      <c r="M34" s="4"/>
    </row>
    <row r="35" spans="1:13" ht="15.75">
      <c r="A35" s="93"/>
      <c r="B35" s="14"/>
      <c r="C35" s="14"/>
      <c r="D35" s="14"/>
      <c r="E35" s="14"/>
      <c r="F35" s="14"/>
      <c r="G35" s="14"/>
      <c r="H35" s="14"/>
      <c r="I35" s="14"/>
      <c r="J35" s="14"/>
      <c r="K35" s="21"/>
      <c r="L35" s="4"/>
      <c r="M35" s="4"/>
    </row>
    <row r="36" spans="1:13" ht="15.75">
      <c r="A36" s="111"/>
      <c r="B36" s="14"/>
      <c r="C36" s="114">
        <f>D3+C22+F3</f>
        <v>1437.0021716970261</v>
      </c>
      <c r="D36" s="14" t="str">
        <f>D22</f>
        <v>м</v>
      </c>
      <c r="E36" s="14"/>
      <c r="F36" s="14"/>
      <c r="G36" s="14"/>
      <c r="H36" s="14"/>
      <c r="I36" s="14"/>
      <c r="J36" s="14"/>
      <c r="K36" s="21"/>
      <c r="L36" s="4"/>
      <c r="M36" s="4"/>
    </row>
    <row r="37" spans="1:13" ht="15.75">
      <c r="A37" s="93"/>
      <c r="B37" s="14"/>
      <c r="C37" s="14"/>
      <c r="D37" s="14"/>
      <c r="E37" s="14"/>
      <c r="F37" s="14"/>
      <c r="G37" s="14"/>
      <c r="H37" s="14"/>
      <c r="I37" s="14"/>
      <c r="J37" s="14"/>
      <c r="K37" s="21"/>
      <c r="L37" s="4"/>
      <c r="M37" s="4"/>
    </row>
    <row r="38" spans="1:13" ht="15.75">
      <c r="A38" s="111"/>
      <c r="B38" s="112"/>
      <c r="C38" s="112"/>
      <c r="D38" s="112"/>
      <c r="E38" s="14"/>
      <c r="F38" s="14"/>
      <c r="G38" s="14"/>
      <c r="H38" s="14"/>
      <c r="I38" s="14"/>
      <c r="J38" s="14"/>
      <c r="K38" s="21"/>
      <c r="L38" s="4"/>
      <c r="M38" s="4"/>
    </row>
    <row r="39" spans="1:13" ht="15.75">
      <c r="A39" s="93"/>
      <c r="B39" s="14"/>
      <c r="C39" s="14"/>
      <c r="D39" s="14"/>
      <c r="E39" s="14"/>
      <c r="F39" s="14"/>
      <c r="G39" s="14"/>
      <c r="H39" s="14"/>
      <c r="I39" s="14"/>
      <c r="J39" s="14"/>
      <c r="K39" s="21"/>
      <c r="L39" s="4"/>
      <c r="M39" s="4"/>
    </row>
    <row r="40" spans="1:13" ht="15.75">
      <c r="A40" s="111"/>
      <c r="B40" s="14"/>
      <c r="C40" s="113">
        <f>(C32*(C36+J3)*C18^2)/((F14/1000)*2*9.81)</f>
        <v>84.018022168163043</v>
      </c>
      <c r="D40" s="14" t="str">
        <f>D36</f>
        <v>м</v>
      </c>
      <c r="E40" s="14"/>
      <c r="F40" s="14"/>
      <c r="G40" s="14"/>
      <c r="H40" s="14"/>
      <c r="I40" s="14"/>
      <c r="J40" s="14"/>
      <c r="K40" s="21"/>
      <c r="L40" s="4"/>
      <c r="M40" s="4"/>
    </row>
    <row r="41" spans="1:13" ht="15.75">
      <c r="A41" s="93"/>
      <c r="B41" s="14"/>
      <c r="C41" s="14"/>
      <c r="D41" s="14"/>
      <c r="E41" s="14"/>
      <c r="F41" s="14"/>
      <c r="G41" s="14"/>
      <c r="H41" s="14"/>
      <c r="I41" s="14"/>
      <c r="J41" s="14"/>
      <c r="K41" s="21"/>
      <c r="L41" s="4"/>
      <c r="M41" s="4"/>
    </row>
    <row r="42" spans="1:13" ht="15.75">
      <c r="A42" s="111"/>
      <c r="B42" s="112"/>
      <c r="C42" s="112"/>
      <c r="D42" s="112"/>
      <c r="E42" s="14"/>
      <c r="F42" s="14"/>
      <c r="G42" s="14"/>
      <c r="H42" s="14"/>
      <c r="I42" s="14"/>
      <c r="J42" s="14"/>
      <c r="K42" s="21"/>
      <c r="L42" s="4"/>
      <c r="M42" s="4"/>
    </row>
    <row r="43" spans="1:13" ht="15.75">
      <c r="A43" s="93"/>
      <c r="B43" s="14"/>
      <c r="C43" s="14"/>
      <c r="D43" s="14"/>
      <c r="E43" s="14"/>
      <c r="F43" s="14"/>
      <c r="G43" s="14"/>
      <c r="H43" s="14"/>
      <c r="I43" s="14"/>
      <c r="J43" s="14"/>
      <c r="K43" s="21"/>
      <c r="L43" s="4"/>
      <c r="M43" s="4"/>
    </row>
    <row r="44" spans="1:13" ht="15.75">
      <c r="A44" s="93"/>
      <c r="B44" s="112"/>
      <c r="C44" s="114">
        <f>I3*10^6/(K3*9.81)</f>
        <v>66.480521207286259</v>
      </c>
      <c r="D44" s="14" t="s">
        <v>20</v>
      </c>
      <c r="E44" s="14"/>
      <c r="F44" s="14"/>
      <c r="G44" s="14"/>
      <c r="H44" s="14"/>
      <c r="I44" s="14"/>
      <c r="J44" s="14"/>
      <c r="K44" s="21"/>
      <c r="L44" s="4"/>
      <c r="M44" s="4"/>
    </row>
    <row r="45" spans="1:13" ht="15.75">
      <c r="A45" s="93"/>
      <c r="B45" s="14"/>
      <c r="C45" s="14"/>
      <c r="D45" s="14"/>
      <c r="E45" s="14"/>
      <c r="F45" s="14"/>
      <c r="G45" s="14"/>
      <c r="H45" s="14"/>
      <c r="I45" s="14"/>
      <c r="J45" s="14"/>
      <c r="K45" s="21"/>
      <c r="L45" s="4"/>
      <c r="M45" s="4"/>
    </row>
    <row r="46" spans="1:13" ht="15.75">
      <c r="A46" s="111"/>
      <c r="B46" s="112"/>
      <c r="C46" s="112"/>
      <c r="D46" s="112"/>
      <c r="E46" s="14"/>
      <c r="F46" s="14"/>
      <c r="G46" s="14"/>
      <c r="H46" s="14"/>
      <c r="I46" s="14"/>
      <c r="J46" s="14"/>
      <c r="K46" s="21"/>
      <c r="L46" s="4"/>
      <c r="M46" s="4"/>
    </row>
    <row r="47" spans="1:13" ht="15.75">
      <c r="A47" s="93"/>
      <c r="B47" s="14"/>
      <c r="C47" s="14"/>
      <c r="D47" s="14"/>
      <c r="E47" s="14"/>
      <c r="F47" s="14"/>
      <c r="G47" s="14"/>
      <c r="H47" s="14"/>
      <c r="I47" s="14"/>
      <c r="J47" s="14"/>
      <c r="K47" s="21"/>
      <c r="L47" s="4"/>
      <c r="M47" s="4"/>
    </row>
    <row r="48" spans="1:13" ht="15.75">
      <c r="A48" s="111"/>
      <c r="B48" s="14"/>
      <c r="C48" s="114">
        <f>D3+C22+C40+H3+C44</f>
        <v>1442.5007150724755</v>
      </c>
      <c r="D48" s="14" t="str">
        <f>D44</f>
        <v>м</v>
      </c>
      <c r="E48" s="14"/>
      <c r="F48" s="14"/>
      <c r="G48" s="14"/>
      <c r="H48" s="14"/>
      <c r="I48" s="14"/>
      <c r="J48" s="14"/>
      <c r="K48" s="21"/>
      <c r="L48" s="4"/>
      <c r="M48" s="4"/>
    </row>
    <row r="49" spans="1:13" ht="15.75">
      <c r="A49" s="93"/>
      <c r="B49" s="14"/>
      <c r="C49" s="14"/>
      <c r="D49" s="14"/>
      <c r="E49" s="14"/>
      <c r="F49" s="14"/>
      <c r="G49" s="14"/>
      <c r="H49" s="14"/>
      <c r="I49" s="14"/>
      <c r="J49" s="14"/>
      <c r="K49" s="21"/>
      <c r="L49" s="4"/>
      <c r="M49" s="4"/>
    </row>
    <row r="50" spans="1:13" ht="15.75">
      <c r="A50" s="117" t="s">
        <v>129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9"/>
      <c r="L50" s="4"/>
      <c r="M50" s="4"/>
    </row>
    <row r="51" spans="1:13" ht="15.75">
      <c r="A51" s="20" t="s">
        <v>130</v>
      </c>
      <c r="B51" s="16" t="s">
        <v>131</v>
      </c>
      <c r="C51" s="118"/>
      <c r="D51" s="118"/>
      <c r="E51" s="118"/>
      <c r="F51" s="118"/>
      <c r="G51" s="118"/>
      <c r="H51" s="118"/>
      <c r="I51" s="118"/>
      <c r="J51" s="118"/>
      <c r="K51" s="119"/>
      <c r="L51" s="4"/>
      <c r="M51" s="4"/>
    </row>
    <row r="52" spans="1:13" ht="15.75">
      <c r="A52" s="20">
        <v>125</v>
      </c>
      <c r="B52" s="16">
        <v>1520</v>
      </c>
      <c r="C52" s="118"/>
      <c r="D52" s="118"/>
      <c r="E52" s="118"/>
      <c r="F52" s="118"/>
      <c r="G52" s="118"/>
      <c r="H52" s="118"/>
      <c r="I52" s="118"/>
      <c r="J52" s="118"/>
      <c r="K52" s="119"/>
      <c r="L52" s="4"/>
      <c r="M52" s="4"/>
    </row>
    <row r="53" spans="1:13" ht="15.75">
      <c r="A53" s="20">
        <v>160</v>
      </c>
      <c r="B53" s="16">
        <v>1400</v>
      </c>
      <c r="C53" s="118"/>
      <c r="D53" s="118"/>
      <c r="E53" s="118"/>
      <c r="F53" s="118"/>
      <c r="G53" s="118"/>
      <c r="H53" s="118"/>
      <c r="I53" s="118"/>
      <c r="J53" s="118"/>
      <c r="K53" s="119"/>
      <c r="L53" s="4"/>
      <c r="M53" s="4"/>
    </row>
    <row r="54" spans="1:13" ht="15.75">
      <c r="A54" s="20">
        <v>205</v>
      </c>
      <c r="B54" s="16">
        <v>1000</v>
      </c>
      <c r="C54" s="118"/>
      <c r="D54" s="118"/>
      <c r="E54" s="118"/>
      <c r="F54" s="118"/>
      <c r="G54" s="118"/>
      <c r="H54" s="118"/>
      <c r="I54" s="118"/>
      <c r="J54" s="118"/>
      <c r="K54" s="119"/>
      <c r="L54" s="4"/>
      <c r="M54" s="4"/>
    </row>
    <row r="55" spans="1:13" ht="15.75">
      <c r="A55" s="20" t="s">
        <v>132</v>
      </c>
      <c r="B55" s="16"/>
      <c r="C55" s="118"/>
      <c r="D55" s="118"/>
      <c r="E55" s="118"/>
      <c r="F55" s="118"/>
      <c r="G55" s="118"/>
      <c r="H55" s="118"/>
      <c r="I55" s="118"/>
      <c r="J55" s="118"/>
      <c r="K55" s="119"/>
      <c r="L55" s="4"/>
      <c r="M55" s="4"/>
    </row>
    <row r="56" spans="1:13" ht="15.75">
      <c r="A56" s="20">
        <f>C3</f>
        <v>200</v>
      </c>
      <c r="B56" s="17">
        <f>B53-(A53-C3)*(B53-B52)/(A53-A52)</f>
        <v>1262.8571428571429</v>
      </c>
      <c r="C56" s="118"/>
      <c r="D56" s="118"/>
      <c r="E56" s="118"/>
      <c r="F56" s="118"/>
      <c r="G56" s="118"/>
      <c r="H56" s="118"/>
      <c r="I56" s="118"/>
      <c r="J56" s="118"/>
      <c r="K56" s="119"/>
      <c r="L56" s="4"/>
      <c r="M56" s="4"/>
    </row>
    <row r="57" spans="1:13" ht="15.75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9"/>
      <c r="L57" s="4"/>
      <c r="M57" s="4"/>
    </row>
    <row r="58" spans="1:13" ht="15.75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21"/>
      <c r="L58" s="4"/>
      <c r="M58" s="4"/>
    </row>
    <row r="59" spans="1:13" ht="15.75">
      <c r="A59" s="117"/>
      <c r="B59" s="118"/>
      <c r="C59" s="118"/>
      <c r="D59" s="118"/>
      <c r="E59" s="118"/>
      <c r="F59" s="118"/>
      <c r="G59" s="118"/>
      <c r="H59" s="118"/>
      <c r="I59" s="118"/>
      <c r="J59" s="118"/>
      <c r="K59" s="119"/>
      <c r="L59" s="4"/>
      <c r="M59" s="4"/>
    </row>
    <row r="60" spans="1:13" ht="15.75">
      <c r="A60" s="117"/>
      <c r="B60" s="118"/>
      <c r="C60" s="118"/>
      <c r="D60" s="118"/>
      <c r="E60" s="118"/>
      <c r="F60" s="118"/>
      <c r="G60" s="118"/>
      <c r="H60" s="118"/>
      <c r="I60" s="118"/>
      <c r="J60" s="118"/>
      <c r="K60" s="119"/>
      <c r="L60" s="4"/>
      <c r="M60" s="4"/>
    </row>
    <row r="61" spans="1:13" ht="15.75">
      <c r="A61" s="117"/>
      <c r="B61" s="118"/>
      <c r="C61" s="118"/>
      <c r="D61" s="118"/>
      <c r="E61" s="118"/>
      <c r="F61" s="118"/>
      <c r="G61" s="118"/>
      <c r="H61" s="118"/>
      <c r="I61" s="118"/>
      <c r="J61" s="118"/>
      <c r="K61" s="119"/>
      <c r="L61" s="4"/>
      <c r="M61" s="4"/>
    </row>
    <row r="62" spans="1:13" ht="15.75">
      <c r="A62" s="117"/>
      <c r="B62" s="118"/>
      <c r="C62" s="118"/>
      <c r="D62" s="118"/>
      <c r="E62" s="118"/>
      <c r="F62" s="118"/>
      <c r="G62" s="118"/>
      <c r="H62" s="118"/>
      <c r="I62" s="118"/>
      <c r="J62" s="118"/>
      <c r="K62" s="119"/>
      <c r="L62" s="4"/>
      <c r="M62" s="4"/>
    </row>
    <row r="63" spans="1:13" ht="15.75">
      <c r="A63" s="93"/>
      <c r="B63" s="14"/>
      <c r="C63" s="14"/>
      <c r="D63" s="14"/>
      <c r="E63" s="14"/>
      <c r="F63" s="14"/>
      <c r="G63" s="14"/>
      <c r="H63" s="14"/>
      <c r="I63" s="14"/>
      <c r="J63" s="14"/>
      <c r="K63" s="21"/>
      <c r="L63" s="4"/>
      <c r="M63" s="4"/>
    </row>
    <row r="64" spans="1:13" ht="15.75">
      <c r="A64" s="93"/>
      <c r="B64" s="14"/>
      <c r="C64" s="14"/>
      <c r="D64" s="14"/>
      <c r="E64" s="14"/>
      <c r="F64" s="14"/>
      <c r="G64" s="14"/>
      <c r="H64" s="14"/>
      <c r="I64" s="14"/>
      <c r="J64" s="14"/>
      <c r="K64" s="21"/>
      <c r="L64" s="4"/>
      <c r="M64" s="4"/>
    </row>
    <row r="65" spans="1:13" ht="15.75">
      <c r="A65" s="93"/>
      <c r="B65" s="14"/>
      <c r="C65" s="14"/>
      <c r="D65" s="14"/>
      <c r="E65" s="14"/>
      <c r="F65" s="14"/>
      <c r="G65" s="14"/>
      <c r="H65" s="14"/>
      <c r="I65" s="14"/>
      <c r="J65" s="14"/>
      <c r="K65" s="21"/>
      <c r="L65" s="4"/>
      <c r="M65" s="4"/>
    </row>
    <row r="66" spans="1:13" ht="15.75">
      <c r="A66" s="93"/>
      <c r="B66" s="14"/>
      <c r="C66" s="14"/>
      <c r="D66" s="14"/>
      <c r="E66" s="14"/>
      <c r="F66" s="14"/>
      <c r="G66" s="14"/>
      <c r="H66" s="14"/>
      <c r="I66" s="14"/>
      <c r="J66" s="14"/>
      <c r="K66" s="21"/>
      <c r="L66" s="4"/>
      <c r="M66" s="4"/>
    </row>
    <row r="67" spans="1:13" ht="15.75">
      <c r="A67" s="93"/>
      <c r="B67" s="14"/>
      <c r="C67" s="14"/>
      <c r="D67" s="14"/>
      <c r="E67" s="14"/>
      <c r="F67" s="14"/>
      <c r="G67" s="14"/>
      <c r="H67" s="14"/>
      <c r="I67" s="14"/>
      <c r="J67" s="14"/>
      <c r="K67" s="21"/>
      <c r="L67" s="4"/>
      <c r="M67" s="4"/>
    </row>
    <row r="68" spans="1:13" ht="15.75">
      <c r="A68" s="93"/>
      <c r="B68" s="14"/>
      <c r="C68" s="14"/>
      <c r="D68" s="14"/>
      <c r="E68" s="14"/>
      <c r="F68" s="14"/>
      <c r="G68" s="14"/>
      <c r="H68" s="14"/>
      <c r="I68" s="14"/>
      <c r="J68" s="14"/>
      <c r="K68" s="21"/>
      <c r="L68" s="4"/>
      <c r="M68" s="4"/>
    </row>
    <row r="69" spans="1:13" ht="15.75">
      <c r="A69" s="120"/>
      <c r="B69" s="80"/>
      <c r="C69" s="80"/>
      <c r="D69" s="80"/>
      <c r="E69" s="80"/>
      <c r="F69" s="80"/>
      <c r="G69" s="80"/>
      <c r="H69" s="80"/>
      <c r="I69" s="14">
        <v>1366</v>
      </c>
      <c r="J69" s="14" t="str">
        <f>D48</f>
        <v>м</v>
      </c>
      <c r="K69" s="21"/>
      <c r="L69" s="4"/>
      <c r="M69" s="4"/>
    </row>
    <row r="70" spans="1:13" ht="15.75">
      <c r="A70" s="110"/>
      <c r="B70" s="27"/>
      <c r="C70" s="14">
        <v>275</v>
      </c>
      <c r="D70" s="14"/>
      <c r="E70" s="14"/>
      <c r="F70" s="14"/>
      <c r="G70" s="14"/>
      <c r="H70" s="14"/>
      <c r="I70" s="14"/>
      <c r="J70" s="14"/>
      <c r="K70" s="21"/>
      <c r="L70" s="4"/>
      <c r="M70" s="4"/>
    </row>
    <row r="71" spans="1:13" ht="15.75">
      <c r="A71" s="107"/>
      <c r="B71" s="108"/>
      <c r="C71" s="108"/>
      <c r="D71" s="14"/>
      <c r="E71" s="14"/>
      <c r="F71" s="14"/>
      <c r="G71" s="14"/>
      <c r="H71" s="14"/>
      <c r="I71" s="14"/>
      <c r="J71" s="14"/>
      <c r="K71" s="21"/>
      <c r="L71" s="4"/>
      <c r="M71" s="4"/>
    </row>
    <row r="72" spans="1:13" ht="15.75">
      <c r="A72" s="120"/>
      <c r="B72" s="80"/>
      <c r="C72" s="80"/>
      <c r="D72" s="80"/>
      <c r="E72" s="80"/>
      <c r="F72" s="14"/>
      <c r="G72" s="14"/>
      <c r="H72" s="14"/>
      <c r="I72" s="14"/>
      <c r="J72" s="14"/>
      <c r="K72" s="21"/>
      <c r="L72" s="4"/>
      <c r="M72" s="4"/>
    </row>
    <row r="73" spans="1:13" ht="15.75">
      <c r="A73" s="93"/>
      <c r="B73" s="14"/>
      <c r="C73" s="14"/>
      <c r="D73" s="14"/>
      <c r="E73" s="14"/>
      <c r="F73" s="14"/>
      <c r="G73" s="14"/>
      <c r="H73" s="14"/>
      <c r="I73" s="14"/>
      <c r="J73" s="14"/>
      <c r="K73" s="21"/>
      <c r="L73" s="4"/>
      <c r="M73" s="4"/>
    </row>
    <row r="74" spans="1:13" ht="15.75">
      <c r="A74" s="93"/>
      <c r="B74" s="28"/>
      <c r="C74" s="114">
        <f>I69*C4/K3</f>
        <v>1517.4478260869564</v>
      </c>
      <c r="D74" s="14" t="str">
        <f>J69</f>
        <v>м</v>
      </c>
      <c r="E74" s="14"/>
      <c r="F74" s="14"/>
      <c r="G74" s="14"/>
      <c r="H74" s="14"/>
      <c r="I74" s="14"/>
      <c r="J74" s="14"/>
      <c r="K74" s="21"/>
      <c r="L74" s="4"/>
      <c r="M74" s="4"/>
    </row>
    <row r="75" spans="1:13" ht="15.75">
      <c r="A75" s="93"/>
      <c r="B75" s="14"/>
      <c r="C75" s="14"/>
      <c r="D75" s="14"/>
      <c r="E75" s="14"/>
      <c r="F75" s="14"/>
      <c r="G75" s="14"/>
      <c r="H75" s="14"/>
      <c r="I75" s="14"/>
      <c r="J75" s="14"/>
      <c r="K75" s="21"/>
      <c r="L75" s="4"/>
      <c r="M75" s="4"/>
    </row>
    <row r="76" spans="1:13" ht="15.75">
      <c r="A76" s="120"/>
      <c r="B76" s="80"/>
      <c r="C76" s="80"/>
      <c r="D76" s="80"/>
      <c r="E76" s="80"/>
      <c r="F76" s="80"/>
      <c r="G76" s="80"/>
      <c r="H76" s="80"/>
      <c r="I76" s="14"/>
      <c r="J76" s="14"/>
      <c r="K76" s="21"/>
      <c r="L76" s="4"/>
      <c r="M76" s="4"/>
    </row>
    <row r="77" spans="1:13" ht="15.75">
      <c r="A77" s="120"/>
      <c r="B77" s="80"/>
      <c r="C77" s="80"/>
      <c r="D77" s="80"/>
      <c r="E77" s="80"/>
      <c r="F77" s="80"/>
      <c r="G77" s="80"/>
      <c r="H77" s="80"/>
      <c r="I77" s="80"/>
      <c r="J77" s="80"/>
      <c r="K77" s="21"/>
      <c r="L77" s="4"/>
      <c r="M77" s="4"/>
    </row>
    <row r="78" spans="1:13" ht="15.75">
      <c r="A78" s="93"/>
      <c r="B78" s="14"/>
      <c r="C78" s="14"/>
      <c r="D78" s="14"/>
      <c r="E78" s="14"/>
      <c r="F78" s="14"/>
      <c r="G78" s="14"/>
      <c r="H78" s="14"/>
      <c r="I78" s="14"/>
      <c r="J78" s="14"/>
      <c r="K78" s="21"/>
      <c r="L78" s="4"/>
      <c r="M78" s="4"/>
    </row>
    <row r="79" spans="1:13" ht="15.75">
      <c r="A79" s="93"/>
      <c r="B79" s="28"/>
      <c r="C79" s="121">
        <f>(1-C48/C74)*C70</f>
        <v>13.582315763785058</v>
      </c>
      <c r="D79" s="14" t="s">
        <v>133</v>
      </c>
      <c r="E79" s="14"/>
      <c r="F79" s="14"/>
      <c r="G79" s="14"/>
      <c r="H79" s="14"/>
      <c r="I79" s="14"/>
      <c r="J79" s="14"/>
      <c r="K79" s="21"/>
      <c r="L79" s="4"/>
      <c r="M79" s="4"/>
    </row>
    <row r="80" spans="1:13" ht="15.75">
      <c r="A80" s="93"/>
      <c r="B80" s="14"/>
      <c r="C80" s="14"/>
      <c r="D80" s="14"/>
      <c r="E80" s="14"/>
      <c r="F80" s="14"/>
      <c r="G80" s="14"/>
      <c r="H80" s="14"/>
      <c r="I80" s="14"/>
      <c r="J80" s="14"/>
      <c r="K80" s="21"/>
      <c r="L80" s="4"/>
      <c r="M80" s="4"/>
    </row>
    <row r="81" spans="1:13" ht="15.75">
      <c r="A81" s="110"/>
      <c r="B81" s="27"/>
      <c r="C81" s="27"/>
      <c r="D81" s="121"/>
      <c r="E81" s="27"/>
      <c r="F81" s="27"/>
      <c r="G81" s="27"/>
      <c r="H81" s="27"/>
      <c r="I81" s="27"/>
      <c r="J81" s="14"/>
      <c r="K81" s="21"/>
      <c r="L81" s="4"/>
      <c r="M81" s="4"/>
    </row>
    <row r="82" spans="1:13" ht="15.75">
      <c r="A82" s="110"/>
      <c r="B82" s="27"/>
      <c r="C82" s="27"/>
      <c r="D82" s="114"/>
      <c r="E82" s="14"/>
      <c r="F82" s="14"/>
      <c r="G82" s="14"/>
      <c r="H82" s="14"/>
      <c r="I82" s="14"/>
      <c r="J82" s="14"/>
      <c r="K82" s="21"/>
      <c r="L82" s="4"/>
      <c r="M82" s="4"/>
    </row>
    <row r="83" spans="1:13" ht="15.75">
      <c r="A83" s="93"/>
      <c r="B83" s="14"/>
      <c r="C83" s="14"/>
      <c r="D83" s="14"/>
      <c r="E83" s="14"/>
      <c r="F83" s="14"/>
      <c r="G83" s="14"/>
      <c r="H83" s="14"/>
      <c r="I83" s="14"/>
      <c r="J83" s="14"/>
      <c r="K83" s="21"/>
      <c r="L83" s="4"/>
      <c r="M83" s="4"/>
    </row>
    <row r="84" spans="1:13" ht="15.75">
      <c r="A84" s="110"/>
      <c r="B84" s="27"/>
      <c r="C84" s="27"/>
      <c r="D84" s="27"/>
      <c r="E84" s="27"/>
      <c r="F84" s="27"/>
      <c r="G84" s="27"/>
      <c r="H84" s="27"/>
      <c r="I84" s="27"/>
      <c r="J84" s="27"/>
      <c r="K84" s="122"/>
      <c r="L84" s="4"/>
      <c r="M84" s="4"/>
    </row>
    <row r="85" spans="1:13" ht="15.75">
      <c r="A85" s="120"/>
      <c r="B85" s="80"/>
      <c r="C85" s="80"/>
      <c r="D85" s="80"/>
      <c r="E85" s="80"/>
      <c r="F85" s="14"/>
      <c r="G85" s="14"/>
      <c r="H85" s="14"/>
      <c r="I85" s="14"/>
      <c r="J85" s="14"/>
      <c r="K85" s="21"/>
      <c r="L85" s="4"/>
      <c r="M85" s="4"/>
    </row>
    <row r="86" spans="1:13" ht="15.75">
      <c r="A86" s="93"/>
      <c r="B86" s="14"/>
      <c r="C86" s="14"/>
      <c r="D86" s="14"/>
      <c r="E86" s="14"/>
      <c r="F86" s="14"/>
      <c r="G86" s="14"/>
      <c r="H86" s="14"/>
      <c r="I86" s="14"/>
      <c r="J86" s="14"/>
      <c r="K86" s="21"/>
      <c r="L86" s="4"/>
      <c r="M86" s="4"/>
    </row>
    <row r="87" spans="1:13" ht="15.75">
      <c r="A87" s="31"/>
      <c r="B87" s="14"/>
      <c r="C87" s="14"/>
      <c r="D87" s="14"/>
      <c r="E87" s="114">
        <f>C3*K3*9.81*C48/(86400*1000*F89)</f>
        <v>60.272488211444937</v>
      </c>
      <c r="F87" s="14" t="s">
        <v>134</v>
      </c>
      <c r="G87" s="14"/>
      <c r="H87" s="14"/>
      <c r="I87" s="14"/>
      <c r="J87" s="14"/>
      <c r="K87" s="21"/>
      <c r="L87" s="4"/>
      <c r="M87" s="4"/>
    </row>
    <row r="88" spans="1:13" ht="15.75">
      <c r="A88" s="93"/>
      <c r="B88" s="14"/>
      <c r="C88" s="14"/>
      <c r="D88" s="14"/>
      <c r="E88" s="14"/>
      <c r="F88" s="14"/>
      <c r="G88" s="14"/>
      <c r="H88" s="14"/>
      <c r="I88" s="14"/>
      <c r="J88" s="14"/>
      <c r="K88" s="21"/>
      <c r="L88" s="4"/>
      <c r="M88" s="4"/>
    </row>
    <row r="89" spans="1:13" ht="15.75">
      <c r="A89" s="123" t="s">
        <v>135</v>
      </c>
      <c r="B89" s="124"/>
      <c r="C89" s="124"/>
      <c r="D89" s="124"/>
      <c r="E89" s="124"/>
      <c r="F89" s="14">
        <v>0.5</v>
      </c>
      <c r="G89" s="14"/>
      <c r="H89" s="14"/>
      <c r="I89" s="14"/>
      <c r="J89" s="14"/>
      <c r="K89" s="21"/>
      <c r="L89" s="4"/>
      <c r="M89" s="4"/>
    </row>
    <row r="90" spans="1:13" ht="15.75">
      <c r="A90" s="93"/>
      <c r="B90" s="14"/>
      <c r="C90" s="14"/>
      <c r="D90" s="14"/>
      <c r="E90" s="14"/>
      <c r="F90" s="14"/>
      <c r="G90" s="14"/>
      <c r="H90" s="14"/>
      <c r="I90" s="14"/>
      <c r="J90" s="14"/>
      <c r="K90" s="21"/>
      <c r="L90" s="4"/>
      <c r="M90" s="4"/>
    </row>
    <row r="91" spans="1:13" ht="15.75">
      <c r="A91" s="110"/>
      <c r="B91" s="27"/>
      <c r="C91" s="27"/>
      <c r="D91" s="27"/>
      <c r="E91" s="27"/>
      <c r="F91" s="27"/>
      <c r="G91" s="27"/>
      <c r="H91" s="27"/>
      <c r="I91" s="27"/>
      <c r="J91" s="27"/>
      <c r="K91" s="122"/>
      <c r="L91" s="4"/>
      <c r="M91" s="4"/>
    </row>
    <row r="92" spans="1:13" ht="15.75">
      <c r="A92" s="110"/>
      <c r="B92" s="27"/>
      <c r="C92" s="27"/>
      <c r="D92" s="14"/>
      <c r="E92" s="14"/>
      <c r="F92" s="14"/>
      <c r="G92" s="14"/>
      <c r="H92" s="14"/>
      <c r="I92" s="14"/>
      <c r="J92" s="14"/>
      <c r="K92" s="21"/>
      <c r="L92" s="4"/>
      <c r="M92" s="4"/>
    </row>
    <row r="93" spans="1:13" ht="15.75">
      <c r="A93" s="93"/>
      <c r="B93" s="14"/>
      <c r="C93" s="14"/>
      <c r="D93" s="14"/>
      <c r="E93" s="14"/>
      <c r="F93" s="14"/>
      <c r="G93" s="14"/>
      <c r="H93" s="14"/>
      <c r="I93" s="14"/>
      <c r="J93" s="14"/>
      <c r="K93" s="21"/>
      <c r="L93" s="4"/>
      <c r="M93" s="4"/>
    </row>
    <row r="94" spans="1:13" ht="15.75">
      <c r="A94" s="93"/>
      <c r="B94" s="14"/>
      <c r="C94" s="81">
        <f>E87/0.92</f>
        <v>65.51357414287493</v>
      </c>
      <c r="D94" s="14" t="s">
        <v>134</v>
      </c>
      <c r="E94" s="14"/>
      <c r="F94" s="14"/>
      <c r="G94" s="14"/>
      <c r="H94" s="14"/>
      <c r="I94" s="14"/>
      <c r="J94" s="14"/>
      <c r="K94" s="21"/>
      <c r="L94" s="4"/>
      <c r="M94" s="4"/>
    </row>
    <row r="95" spans="1:13" ht="15.75">
      <c r="A95" s="93"/>
      <c r="B95" s="14"/>
      <c r="C95" s="14"/>
      <c r="D95" s="14"/>
      <c r="E95" s="14"/>
      <c r="F95" s="14"/>
      <c r="G95" s="14"/>
      <c r="H95" s="14"/>
      <c r="I95" s="14"/>
      <c r="J95" s="14"/>
      <c r="K95" s="21"/>
      <c r="L95" s="4"/>
      <c r="M95" s="4"/>
    </row>
    <row r="96" spans="1:13" ht="16.5" customHeight="1" thickBot="1">
      <c r="A96" s="110"/>
      <c r="B96" s="27"/>
      <c r="C96" s="27"/>
      <c r="D96" s="27"/>
      <c r="E96" s="27"/>
      <c r="F96" s="27"/>
      <c r="G96" s="27"/>
      <c r="H96" s="27"/>
      <c r="I96" s="27"/>
      <c r="J96" s="27"/>
      <c r="K96" s="122"/>
      <c r="L96" s="4"/>
      <c r="M96" s="4"/>
    </row>
    <row r="97" spans="1:14" ht="90.75" thickBot="1">
      <c r="A97" s="125" t="s">
        <v>136</v>
      </c>
      <c r="B97" s="126" t="s">
        <v>137</v>
      </c>
      <c r="C97" s="127"/>
      <c r="D97" s="128"/>
      <c r="E97" s="125" t="s">
        <v>138</v>
      </c>
      <c r="F97" s="125" t="s">
        <v>139</v>
      </c>
      <c r="G97" s="125" t="s">
        <v>140</v>
      </c>
      <c r="H97" s="125" t="s">
        <v>141</v>
      </c>
      <c r="I97" s="125" t="s">
        <v>142</v>
      </c>
      <c r="J97" s="125" t="s">
        <v>143</v>
      </c>
      <c r="K97" s="21"/>
      <c r="L97" s="4"/>
      <c r="M97" s="4"/>
    </row>
    <row r="98" spans="1:14" ht="30.75" thickBot="1">
      <c r="A98" s="18"/>
      <c r="B98" s="19" t="s">
        <v>144</v>
      </c>
      <c r="C98" s="19" t="s">
        <v>145</v>
      </c>
      <c r="D98" s="19" t="s">
        <v>146</v>
      </c>
      <c r="E98" s="18"/>
      <c r="F98" s="18"/>
      <c r="G98" s="18"/>
      <c r="H98" s="18"/>
      <c r="I98" s="18"/>
      <c r="J98" s="18"/>
      <c r="K98" s="21"/>
      <c r="L98" s="4"/>
      <c r="M98" s="4"/>
    </row>
    <row r="99" spans="1:14" ht="16.5" thickBot="1">
      <c r="A99" s="18" t="s">
        <v>147</v>
      </c>
      <c r="B99" s="19">
        <v>14</v>
      </c>
      <c r="C99" s="19">
        <v>350</v>
      </c>
      <c r="D99" s="19">
        <v>40</v>
      </c>
      <c r="E99" s="19">
        <v>72</v>
      </c>
      <c r="F99" s="19">
        <v>0.8</v>
      </c>
      <c r="G99" s="19">
        <v>0.06</v>
      </c>
      <c r="H99" s="19">
        <v>70</v>
      </c>
      <c r="I99" s="19">
        <v>4.2</v>
      </c>
      <c r="J99" s="19">
        <v>200</v>
      </c>
      <c r="K99" s="21"/>
      <c r="L99" s="4"/>
      <c r="M99" s="4"/>
    </row>
    <row r="100" spans="1:14" ht="16.5" thickBot="1">
      <c r="A100" s="18" t="s">
        <v>148</v>
      </c>
      <c r="B100" s="19">
        <v>20</v>
      </c>
      <c r="C100" s="19">
        <v>700</v>
      </c>
      <c r="D100" s="19">
        <v>29</v>
      </c>
      <c r="E100" s="19">
        <v>73</v>
      </c>
      <c r="F100" s="19">
        <v>0.78</v>
      </c>
      <c r="G100" s="19">
        <v>0.06</v>
      </c>
      <c r="H100" s="19">
        <v>70</v>
      </c>
      <c r="I100" s="19">
        <v>5.17</v>
      </c>
      <c r="J100" s="19">
        <v>275</v>
      </c>
      <c r="K100" s="21"/>
      <c r="L100" s="4"/>
      <c r="M100" s="4"/>
    </row>
    <row r="101" spans="1:14" ht="16.5" thickBot="1">
      <c r="A101" s="18" t="s">
        <v>149</v>
      </c>
      <c r="B101" s="19">
        <v>28</v>
      </c>
      <c r="C101" s="19">
        <v>850</v>
      </c>
      <c r="D101" s="19">
        <v>34.700000000000003</v>
      </c>
      <c r="E101" s="19">
        <v>73</v>
      </c>
      <c r="F101" s="19">
        <v>0.75</v>
      </c>
      <c r="G101" s="19">
        <v>8.5000000000000006E-2</v>
      </c>
      <c r="H101" s="19">
        <v>70</v>
      </c>
      <c r="I101" s="19">
        <v>5.5</v>
      </c>
      <c r="J101" s="19">
        <v>295</v>
      </c>
      <c r="K101" s="21"/>
      <c r="L101" s="4"/>
      <c r="M101" s="4"/>
    </row>
    <row r="102" spans="1:14" ht="16.5" thickBot="1">
      <c r="A102" s="18" t="s">
        <v>150</v>
      </c>
      <c r="B102" s="19">
        <v>40</v>
      </c>
      <c r="C102" s="19">
        <v>1000</v>
      </c>
      <c r="D102" s="19">
        <v>40</v>
      </c>
      <c r="E102" s="19">
        <v>72</v>
      </c>
      <c r="F102" s="19">
        <v>0.8</v>
      </c>
      <c r="G102" s="19">
        <v>0.12</v>
      </c>
      <c r="H102" s="19">
        <v>55</v>
      </c>
      <c r="I102" s="19">
        <v>6.2</v>
      </c>
      <c r="J102" s="19">
        <v>335</v>
      </c>
      <c r="K102" s="21"/>
      <c r="L102" s="4"/>
      <c r="M102" s="4"/>
    </row>
    <row r="103" spans="1:14" ht="30.75" thickBot="1">
      <c r="A103" s="18" t="s">
        <v>151</v>
      </c>
      <c r="B103" s="19">
        <v>55</v>
      </c>
      <c r="C103" s="19">
        <v>850</v>
      </c>
      <c r="D103" s="19">
        <v>69</v>
      </c>
      <c r="E103" s="19">
        <v>73</v>
      </c>
      <c r="F103" s="19">
        <v>0.75</v>
      </c>
      <c r="G103" s="19">
        <v>0.37</v>
      </c>
      <c r="H103" s="19">
        <v>70</v>
      </c>
      <c r="I103" s="19">
        <v>5.21</v>
      </c>
      <c r="J103" s="19">
        <v>500</v>
      </c>
      <c r="K103" s="21"/>
      <c r="L103" s="4"/>
      <c r="M103" s="4"/>
    </row>
    <row r="104" spans="1:14" ht="16.5" thickBot="1">
      <c r="A104" s="18" t="s">
        <v>152</v>
      </c>
      <c r="B104" s="19">
        <v>45</v>
      </c>
      <c r="C104" s="19">
        <v>1400</v>
      </c>
      <c r="D104" s="19">
        <v>27.3</v>
      </c>
      <c r="E104" s="19">
        <v>81</v>
      </c>
      <c r="F104" s="19">
        <v>0.84</v>
      </c>
      <c r="G104" s="19">
        <v>0.27</v>
      </c>
      <c r="H104" s="19">
        <v>50</v>
      </c>
      <c r="I104" s="19">
        <v>5.6</v>
      </c>
      <c r="J104" s="19">
        <v>382</v>
      </c>
      <c r="K104" s="21"/>
      <c r="L104" s="4"/>
      <c r="M104" s="4"/>
    </row>
    <row r="105" spans="1:14" ht="16.5" thickBot="1">
      <c r="A105" s="18" t="s">
        <v>153</v>
      </c>
      <c r="B105" s="19">
        <v>65</v>
      </c>
      <c r="C105" s="19">
        <v>2000</v>
      </c>
      <c r="D105" s="19">
        <v>27.5</v>
      </c>
      <c r="E105" s="19">
        <v>81</v>
      </c>
      <c r="F105" s="19">
        <v>0.84</v>
      </c>
      <c r="G105" s="19">
        <v>0.27</v>
      </c>
      <c r="H105" s="19">
        <v>50</v>
      </c>
      <c r="I105" s="19">
        <v>7.5</v>
      </c>
      <c r="J105" s="19">
        <v>525</v>
      </c>
      <c r="K105" s="21"/>
      <c r="L105" s="4"/>
      <c r="M105" s="4"/>
    </row>
    <row r="106" spans="1:14" ht="16.5" thickBot="1">
      <c r="A106" s="18" t="s">
        <v>154</v>
      </c>
      <c r="B106" s="19">
        <v>90</v>
      </c>
      <c r="C106" s="19">
        <v>2000</v>
      </c>
      <c r="D106" s="19">
        <v>38.700000000000003</v>
      </c>
      <c r="E106" s="19">
        <v>81</v>
      </c>
      <c r="F106" s="19">
        <v>0.83</v>
      </c>
      <c r="G106" s="19">
        <v>0.4</v>
      </c>
      <c r="H106" s="19">
        <v>60</v>
      </c>
      <c r="I106" s="19">
        <v>10.76</v>
      </c>
      <c r="J106" s="19">
        <v>750</v>
      </c>
      <c r="K106" s="21"/>
      <c r="L106" s="4"/>
      <c r="M106" s="4"/>
    </row>
    <row r="107" spans="1:14" ht="16.5" thickBot="1">
      <c r="A107" s="18" t="s">
        <v>155</v>
      </c>
      <c r="B107" s="19">
        <v>17</v>
      </c>
      <c r="C107" s="19">
        <v>400</v>
      </c>
      <c r="D107" s="19">
        <v>39.5</v>
      </c>
      <c r="E107" s="19">
        <v>78</v>
      </c>
      <c r="F107" s="19">
        <v>0.8</v>
      </c>
      <c r="G107" s="19">
        <v>0.1</v>
      </c>
      <c r="H107" s="19">
        <v>80</v>
      </c>
      <c r="I107" s="19">
        <v>4.5999999999999996</v>
      </c>
      <c r="J107" s="19">
        <v>348</v>
      </c>
      <c r="K107" s="21"/>
      <c r="L107" s="4"/>
      <c r="M107" s="4"/>
    </row>
    <row r="108" spans="1:14" ht="16.5" thickBot="1">
      <c r="A108" s="18" t="s">
        <v>156</v>
      </c>
      <c r="B108" s="19">
        <v>35</v>
      </c>
      <c r="C108" s="19">
        <v>550</v>
      </c>
      <c r="D108" s="19">
        <v>55.5</v>
      </c>
      <c r="E108" s="19">
        <v>79</v>
      </c>
      <c r="F108" s="19">
        <v>0.84</v>
      </c>
      <c r="G108" s="19">
        <v>0.12</v>
      </c>
      <c r="H108" s="19">
        <v>70</v>
      </c>
      <c r="I108" s="19">
        <v>5.45</v>
      </c>
      <c r="J108" s="19">
        <v>425</v>
      </c>
      <c r="K108" s="21"/>
      <c r="L108" s="4"/>
      <c r="M108" s="4"/>
    </row>
    <row r="109" spans="1:14" ht="16.5" thickBot="1">
      <c r="A109" s="18" t="s">
        <v>157</v>
      </c>
      <c r="B109" s="19">
        <v>46</v>
      </c>
      <c r="C109" s="19">
        <v>700</v>
      </c>
      <c r="D109" s="19">
        <v>56.5</v>
      </c>
      <c r="E109" s="19">
        <v>79</v>
      </c>
      <c r="F109" s="19">
        <v>0.85</v>
      </c>
      <c r="G109" s="19">
        <v>0.2</v>
      </c>
      <c r="H109" s="19">
        <v>80</v>
      </c>
      <c r="I109" s="19">
        <v>6.73</v>
      </c>
      <c r="J109" s="19">
        <v>528</v>
      </c>
      <c r="K109" s="21"/>
      <c r="L109" s="15"/>
      <c r="M109" s="15"/>
    </row>
    <row r="110" spans="1:14" ht="16.5" thickBot="1">
      <c r="A110" s="135" t="s">
        <v>158</v>
      </c>
      <c r="B110" s="136">
        <v>55</v>
      </c>
      <c r="C110" s="136">
        <v>800</v>
      </c>
      <c r="D110" s="136">
        <v>61.5</v>
      </c>
      <c r="E110" s="136">
        <v>78</v>
      </c>
      <c r="F110" s="136">
        <v>0.83</v>
      </c>
      <c r="G110" s="136">
        <v>0.2</v>
      </c>
      <c r="H110" s="136">
        <v>70</v>
      </c>
      <c r="I110" s="136">
        <v>7.2</v>
      </c>
      <c r="J110" s="136">
        <v>568</v>
      </c>
      <c r="K110" s="21"/>
      <c r="L110" s="32"/>
      <c r="M110" s="32"/>
      <c r="N110" s="134"/>
    </row>
    <row r="111" spans="1:14" ht="16.5" thickBot="1">
      <c r="A111" s="18" t="s">
        <v>159</v>
      </c>
      <c r="B111" s="19">
        <v>75</v>
      </c>
      <c r="C111" s="19">
        <v>915</v>
      </c>
      <c r="D111" s="19">
        <v>73.5</v>
      </c>
      <c r="E111" s="19">
        <v>76</v>
      </c>
      <c r="F111" s="19">
        <v>0.85</v>
      </c>
      <c r="G111" s="19">
        <v>0.3</v>
      </c>
      <c r="H111" s="19">
        <v>55</v>
      </c>
      <c r="I111" s="19">
        <v>8.02</v>
      </c>
      <c r="J111" s="19">
        <v>638</v>
      </c>
      <c r="K111" s="21"/>
      <c r="L111" s="4"/>
      <c r="M111" s="4"/>
    </row>
    <row r="112" spans="1:14" ht="30.75" thickBot="1">
      <c r="A112" s="18" t="s">
        <v>160</v>
      </c>
      <c r="B112" s="19">
        <v>100</v>
      </c>
      <c r="C112" s="19">
        <v>950</v>
      </c>
      <c r="D112" s="19">
        <v>89.5</v>
      </c>
      <c r="E112" s="19">
        <v>80</v>
      </c>
      <c r="F112" s="19">
        <v>0.85</v>
      </c>
      <c r="G112" s="19">
        <v>0.35</v>
      </c>
      <c r="H112" s="19">
        <v>60</v>
      </c>
      <c r="I112" s="19">
        <v>8.02</v>
      </c>
      <c r="J112" s="19">
        <v>638</v>
      </c>
      <c r="K112" s="21"/>
      <c r="L112" s="4"/>
      <c r="M112" s="4"/>
    </row>
    <row r="113" spans="1:13" ht="30.75" thickBot="1">
      <c r="A113" s="18" t="s">
        <v>161</v>
      </c>
      <c r="B113" s="19">
        <v>125</v>
      </c>
      <c r="C113" s="19">
        <v>2000</v>
      </c>
      <c r="D113" s="19">
        <v>50.5</v>
      </c>
      <c r="E113" s="19">
        <v>84</v>
      </c>
      <c r="F113" s="19">
        <v>0.85</v>
      </c>
      <c r="G113" s="19">
        <v>0.9</v>
      </c>
      <c r="H113" s="19">
        <v>50</v>
      </c>
      <c r="I113" s="19">
        <v>8.2100000000000009</v>
      </c>
      <c r="J113" s="19">
        <v>800</v>
      </c>
      <c r="K113" s="129"/>
    </row>
    <row r="114" spans="1:13" ht="15.75" thickBot="1">
      <c r="A114" s="58"/>
      <c r="B114" s="59"/>
      <c r="C114" s="59"/>
      <c r="D114" s="59"/>
      <c r="E114" s="59"/>
      <c r="F114" s="59"/>
      <c r="G114" s="59"/>
      <c r="H114" s="59"/>
      <c r="I114" s="59"/>
      <c r="J114" s="59"/>
      <c r="K114" s="130"/>
    </row>
    <row r="115" spans="1:13" ht="15.75" thickBot="1">
      <c r="A115" s="25" t="s">
        <v>167</v>
      </c>
      <c r="B115" s="51"/>
      <c r="C115" s="51"/>
      <c r="D115" s="51"/>
      <c r="E115" s="51"/>
      <c r="F115" s="51"/>
      <c r="G115" s="51"/>
      <c r="H115" s="51"/>
      <c r="I115" s="51"/>
      <c r="J115" s="51"/>
      <c r="K115" s="105"/>
    </row>
    <row r="116" spans="1:13" ht="95.25" thickBot="1">
      <c r="A116" s="33" t="s">
        <v>163</v>
      </c>
      <c r="B116" s="33" t="s">
        <v>164</v>
      </c>
      <c r="C116" s="33" t="s">
        <v>165</v>
      </c>
      <c r="D116" s="33" t="s">
        <v>166</v>
      </c>
      <c r="E116" s="27"/>
      <c r="F116" s="52"/>
      <c r="G116" s="52"/>
      <c r="H116" s="52"/>
      <c r="I116" s="52"/>
      <c r="J116" s="52"/>
      <c r="K116" s="131"/>
    </row>
    <row r="117" spans="1:13" ht="16.5" thickBot="1">
      <c r="A117" s="33">
        <v>9</v>
      </c>
      <c r="B117" s="33">
        <v>2.6</v>
      </c>
      <c r="C117" s="33">
        <v>4.8</v>
      </c>
      <c r="D117" s="33">
        <v>0.7</v>
      </c>
      <c r="E117" s="14"/>
      <c r="F117" s="52"/>
      <c r="G117" s="52"/>
      <c r="H117" s="52"/>
      <c r="I117" s="52"/>
      <c r="J117" s="52"/>
      <c r="K117" s="131"/>
    </row>
    <row r="118" spans="1:13" ht="15.75">
      <c r="A118" s="120"/>
      <c r="B118" s="80"/>
      <c r="C118" s="80"/>
      <c r="D118" s="113">
        <f>A117*(0.325-0.316*D117)*C117/B117</f>
        <v>1.7246769230769234</v>
      </c>
      <c r="E118" s="14" t="s">
        <v>57</v>
      </c>
      <c r="F118" s="52"/>
      <c r="G118" s="52"/>
      <c r="H118" s="52"/>
      <c r="I118" s="52"/>
      <c r="J118" s="52"/>
      <c r="K118" s="131"/>
    </row>
    <row r="119" spans="1:13" ht="15.75">
      <c r="A119" s="93"/>
      <c r="B119" s="14"/>
      <c r="C119" s="14"/>
      <c r="D119" s="14"/>
      <c r="E119" s="14"/>
      <c r="F119" s="52"/>
      <c r="G119" s="52"/>
      <c r="H119" s="52"/>
      <c r="I119" s="52"/>
      <c r="J119" s="52"/>
      <c r="K119" s="131"/>
    </row>
    <row r="120" spans="1:13" ht="15.75">
      <c r="A120" s="31"/>
      <c r="B120" s="14"/>
      <c r="C120" s="14"/>
      <c r="D120" s="14"/>
      <c r="E120" s="14"/>
      <c r="F120" s="52"/>
      <c r="G120" s="52"/>
      <c r="H120" s="52"/>
      <c r="I120" s="52"/>
      <c r="J120" s="52"/>
      <c r="K120" s="131"/>
    </row>
    <row r="121" spans="1:13" ht="15.75">
      <c r="A121" s="93"/>
      <c r="B121" s="14"/>
      <c r="C121" s="14"/>
      <c r="D121" s="113">
        <f>A117*(0.198-0.18*D117)*C117/B117</f>
        <v>1.1963076923076925</v>
      </c>
      <c r="E121" s="14" t="str">
        <f>E118</f>
        <v>МПа</v>
      </c>
      <c r="F121" s="52"/>
      <c r="G121" s="52"/>
      <c r="H121" s="52"/>
      <c r="I121" s="52"/>
      <c r="J121" s="52"/>
      <c r="K121" s="131"/>
    </row>
    <row r="122" spans="1:13" ht="15.75">
      <c r="A122" s="111"/>
      <c r="B122" s="112"/>
      <c r="C122" s="112"/>
      <c r="D122" s="113"/>
      <c r="E122" s="14"/>
      <c r="F122" s="52"/>
      <c r="G122" s="52"/>
      <c r="H122" s="52"/>
      <c r="I122" s="52"/>
      <c r="J122" s="52"/>
      <c r="K122" s="131"/>
    </row>
    <row r="123" spans="1:13" ht="15.75">
      <c r="A123" s="93"/>
      <c r="B123" s="14"/>
      <c r="C123" s="14"/>
      <c r="D123" s="113"/>
      <c r="E123" s="14"/>
      <c r="F123" s="52"/>
      <c r="G123" s="52"/>
      <c r="H123" s="52"/>
      <c r="I123" s="52"/>
      <c r="J123" s="52"/>
      <c r="K123" s="131"/>
    </row>
    <row r="124" spans="1:13" ht="15.75">
      <c r="A124" s="31"/>
      <c r="B124" s="14"/>
      <c r="C124" s="14"/>
      <c r="D124" s="113">
        <f>A117*(0.125-0.115*D117)*C117/B117</f>
        <v>0.7393846153846152</v>
      </c>
      <c r="E124" s="14" t="str">
        <f>E121</f>
        <v>МПа</v>
      </c>
      <c r="F124" s="52"/>
      <c r="G124" s="52"/>
      <c r="H124" s="52"/>
      <c r="I124" s="52"/>
      <c r="J124" s="52"/>
      <c r="K124" s="131"/>
    </row>
    <row r="125" spans="1:13" ht="16.5" thickBot="1">
      <c r="A125" s="93"/>
      <c r="B125" s="14"/>
      <c r="C125" s="14"/>
      <c r="D125" s="14"/>
      <c r="E125" s="14"/>
      <c r="F125" s="52"/>
      <c r="G125" s="52"/>
      <c r="H125" s="52"/>
      <c r="I125" s="52"/>
      <c r="J125" s="52"/>
      <c r="K125" s="131"/>
    </row>
    <row r="126" spans="1:13" ht="15.75" thickBot="1">
      <c r="A126" s="104" t="s">
        <v>195</v>
      </c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22"/>
      <c r="M126" s="23"/>
    </row>
    <row r="127" spans="1:13" ht="126.75" thickBot="1">
      <c r="A127" s="33" t="s">
        <v>114</v>
      </c>
      <c r="B127" s="33" t="s">
        <v>115</v>
      </c>
      <c r="C127" s="33" t="s">
        <v>168</v>
      </c>
      <c r="D127" s="33" t="s">
        <v>169</v>
      </c>
      <c r="E127" s="33" t="s">
        <v>170</v>
      </c>
      <c r="F127" s="33" t="s">
        <v>171</v>
      </c>
      <c r="G127" s="33" t="s">
        <v>172</v>
      </c>
      <c r="H127" s="33" t="s">
        <v>173</v>
      </c>
      <c r="I127" s="33" t="s">
        <v>174</v>
      </c>
      <c r="J127" s="33" t="s">
        <v>175</v>
      </c>
      <c r="K127" s="33" t="s">
        <v>176</v>
      </c>
      <c r="L127" s="2" t="s">
        <v>177</v>
      </c>
      <c r="M127" s="7"/>
    </row>
    <row r="128" spans="1:13" ht="16.5" thickBot="1">
      <c r="A128" s="78">
        <v>146</v>
      </c>
      <c r="B128" s="78">
        <v>2300</v>
      </c>
      <c r="C128" s="78">
        <v>200</v>
      </c>
      <c r="D128" s="78">
        <v>1000</v>
      </c>
      <c r="E128" s="78" t="s">
        <v>178</v>
      </c>
      <c r="F128" s="78">
        <v>1583.76</v>
      </c>
      <c r="G128" s="78">
        <v>80</v>
      </c>
      <c r="H128" s="78">
        <v>0.3</v>
      </c>
      <c r="I128" s="78">
        <v>0.5</v>
      </c>
      <c r="J128" s="78">
        <v>1.1000000000000001</v>
      </c>
      <c r="K128" s="78">
        <v>852</v>
      </c>
      <c r="L128" s="3">
        <v>80</v>
      </c>
      <c r="M128" s="7"/>
    </row>
    <row r="129" spans="1:13" ht="15.75">
      <c r="A129" s="31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6"/>
      <c r="M129" s="7"/>
    </row>
    <row r="130" spans="1:13" ht="15.75">
      <c r="A130" s="110"/>
      <c r="B130" s="27"/>
      <c r="C130" s="27"/>
      <c r="D130" s="27"/>
      <c r="E130" s="27"/>
      <c r="F130" s="27"/>
      <c r="G130" s="27"/>
      <c r="H130" s="27"/>
      <c r="I130" s="27"/>
      <c r="J130" s="27">
        <v>0.15</v>
      </c>
      <c r="K130" s="28" t="s">
        <v>179</v>
      </c>
      <c r="L130" s="28">
        <v>48</v>
      </c>
      <c r="M130" s="7" t="s">
        <v>39</v>
      </c>
    </row>
    <row r="131" spans="1:13" ht="15.75">
      <c r="A131" s="31"/>
      <c r="B131" s="28"/>
      <c r="C131" s="28"/>
      <c r="D131" s="28"/>
      <c r="E131" s="28"/>
      <c r="F131" s="28"/>
      <c r="G131" s="28"/>
      <c r="H131" s="28"/>
      <c r="I131" s="28"/>
      <c r="J131" s="28"/>
      <c r="K131" s="28" t="s">
        <v>180</v>
      </c>
      <c r="L131" s="6">
        <f>IF(L130=48,4,IF(L130=73,5.5,6.5))</f>
        <v>4</v>
      </c>
      <c r="M131" s="7" t="s">
        <v>39</v>
      </c>
    </row>
    <row r="132" spans="1:13" ht="15.75">
      <c r="A132" s="120"/>
      <c r="B132" s="132"/>
      <c r="C132" s="28"/>
      <c r="D132" s="29">
        <v>288</v>
      </c>
      <c r="E132" s="28" t="s">
        <v>181</v>
      </c>
      <c r="F132" s="28"/>
      <c r="G132" s="28"/>
      <c r="H132" s="28"/>
      <c r="I132" s="28"/>
      <c r="J132" s="28"/>
      <c r="K132" s="30" t="s">
        <v>182</v>
      </c>
      <c r="L132" s="28">
        <v>1022</v>
      </c>
      <c r="M132" s="7" t="s">
        <v>17</v>
      </c>
    </row>
    <row r="133" spans="1:13" ht="15.75">
      <c r="A133" s="31"/>
      <c r="B133" s="28"/>
      <c r="C133" s="28" t="s">
        <v>183</v>
      </c>
      <c r="D133" s="28">
        <f>273+L128</f>
        <v>353</v>
      </c>
      <c r="E133" s="28" t="s">
        <v>184</v>
      </c>
      <c r="F133" s="28"/>
      <c r="G133" s="28"/>
      <c r="H133" s="28"/>
      <c r="I133" s="28"/>
      <c r="J133" s="28"/>
      <c r="K133" s="28"/>
      <c r="L133" s="6"/>
      <c r="M133" s="7"/>
    </row>
    <row r="134" spans="1:13" ht="15.75">
      <c r="A134" s="120"/>
      <c r="B134" s="80"/>
      <c r="C134" s="80"/>
      <c r="D134" s="28">
        <v>0.25</v>
      </c>
      <c r="E134" s="28"/>
      <c r="F134" s="155"/>
      <c r="G134" s="155"/>
      <c r="H134" s="28"/>
      <c r="I134" s="28"/>
      <c r="J134" s="28"/>
      <c r="K134" s="28"/>
      <c r="L134" s="6"/>
      <c r="M134" s="7"/>
    </row>
    <row r="135" spans="1:13" ht="15.75">
      <c r="A135" s="31"/>
      <c r="B135" s="28"/>
      <c r="C135" s="28" t="s">
        <v>185</v>
      </c>
      <c r="D135" s="28">
        <v>47</v>
      </c>
      <c r="E135" s="28" t="s">
        <v>186</v>
      </c>
      <c r="F135" s="28"/>
      <c r="G135" s="28"/>
      <c r="H135" s="28"/>
      <c r="I135" s="28"/>
      <c r="J135" s="28"/>
      <c r="K135" s="28"/>
      <c r="L135" s="6"/>
      <c r="M135" s="7"/>
    </row>
    <row r="136" spans="1:13" ht="15.75">
      <c r="A136" s="31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6"/>
      <c r="M136" s="7"/>
    </row>
    <row r="137" spans="1:13" ht="15.75">
      <c r="A137" s="12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6"/>
      <c r="M137" s="7"/>
    </row>
    <row r="138" spans="1:13" ht="15.75">
      <c r="A138" s="31"/>
      <c r="B138" s="89"/>
      <c r="C138" s="28"/>
      <c r="D138" s="89"/>
      <c r="E138" s="28"/>
      <c r="F138" s="28"/>
      <c r="G138" s="28"/>
      <c r="H138" s="28"/>
      <c r="I138" s="28"/>
      <c r="J138" s="28"/>
      <c r="K138" s="28"/>
      <c r="L138" s="6"/>
      <c r="M138" s="7"/>
    </row>
    <row r="139" spans="1:13" ht="15.75">
      <c r="A139" s="31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6"/>
      <c r="M139" s="7"/>
    </row>
    <row r="140" spans="1:13" ht="15.75">
      <c r="A140" s="31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6"/>
      <c r="M140" s="7"/>
    </row>
    <row r="141" spans="1:13" ht="15.75">
      <c r="A141" s="120"/>
      <c r="B141" s="80"/>
      <c r="C141" s="80"/>
      <c r="D141" s="80"/>
      <c r="E141" s="80"/>
      <c r="F141" s="80">
        <v>5</v>
      </c>
      <c r="G141" s="80" t="s">
        <v>187</v>
      </c>
      <c r="H141" s="80"/>
      <c r="I141" s="80"/>
      <c r="J141" s="28"/>
      <c r="K141" s="28"/>
      <c r="L141" s="6"/>
      <c r="M141" s="7"/>
    </row>
    <row r="142" spans="1:13" ht="15.75">
      <c r="A142" s="31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6"/>
      <c r="M142" s="7"/>
    </row>
    <row r="143" spans="1:13" ht="15.75">
      <c r="A143" s="133"/>
      <c r="B143" s="28"/>
      <c r="C143" s="124" t="s">
        <v>188</v>
      </c>
      <c r="D143" s="81">
        <f>F141/4.61</f>
        <v>1.0845986984815617</v>
      </c>
      <c r="E143" s="28"/>
      <c r="F143" s="28"/>
      <c r="G143" s="28"/>
      <c r="H143" s="28"/>
      <c r="I143" s="28"/>
      <c r="J143" s="28"/>
      <c r="K143" s="28"/>
      <c r="L143" s="6"/>
      <c r="M143" s="7"/>
    </row>
    <row r="144" spans="1:13" ht="15.75">
      <c r="A144" s="31"/>
      <c r="B144" s="28"/>
      <c r="C144" s="124" t="s">
        <v>189</v>
      </c>
      <c r="D144" s="28">
        <f>D133/250</f>
        <v>1.4119999999999999</v>
      </c>
      <c r="E144" s="28"/>
      <c r="F144" s="28"/>
      <c r="G144" s="28"/>
      <c r="H144" s="28"/>
      <c r="I144" s="28"/>
      <c r="J144" s="28"/>
      <c r="K144" s="28"/>
      <c r="L144" s="6"/>
      <c r="M144" s="7"/>
    </row>
    <row r="145" spans="1:13" ht="15.75">
      <c r="A145" s="156" t="s">
        <v>190</v>
      </c>
      <c r="B145" s="157"/>
      <c r="C145" s="157"/>
      <c r="D145" s="157"/>
      <c r="E145" s="28">
        <v>0.82</v>
      </c>
      <c r="F145" s="28"/>
      <c r="G145" s="28"/>
      <c r="H145" s="28"/>
      <c r="I145" s="28"/>
      <c r="J145" s="28"/>
      <c r="K145" s="28"/>
      <c r="L145" s="6"/>
      <c r="M145" s="7"/>
    </row>
    <row r="146" spans="1:13" ht="15.75">
      <c r="A146" s="111"/>
      <c r="B146" s="112"/>
      <c r="C146" s="112"/>
      <c r="D146" s="112"/>
      <c r="E146" s="112"/>
      <c r="F146" s="112"/>
      <c r="G146" s="112"/>
      <c r="H146" s="112"/>
      <c r="I146" s="112"/>
      <c r="J146" s="28"/>
      <c r="K146" s="28"/>
      <c r="L146" s="6"/>
      <c r="M146" s="7"/>
    </row>
    <row r="147" spans="1:13" ht="15.75">
      <c r="A147" s="31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6"/>
      <c r="M147" s="7"/>
    </row>
    <row r="148" spans="1:13" ht="15.75">
      <c r="A148" s="133"/>
      <c r="B148" s="28"/>
      <c r="C148" s="28"/>
      <c r="D148" s="28"/>
      <c r="E148" s="28"/>
      <c r="F148" s="28"/>
      <c r="G148" s="28">
        <f>(4.3+0.858*0.9+(5.2*10^-3)*(1-1.5*10^-3*G128)*G128-3.54*0.9)*10^-3</f>
        <v>2.2522799999999997E-3</v>
      </c>
      <c r="H148" s="28"/>
      <c r="I148" s="28"/>
      <c r="J148" s="28"/>
      <c r="K148" s="28"/>
      <c r="L148" s="6"/>
      <c r="M148" s="7"/>
    </row>
    <row r="149" spans="1:13" ht="15.75">
      <c r="A149" s="31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6"/>
      <c r="M149" s="7"/>
    </row>
    <row r="150" spans="1:13" ht="15.75">
      <c r="A150" s="133"/>
      <c r="B150" s="28"/>
      <c r="C150" s="28"/>
      <c r="D150" s="28"/>
      <c r="E150" s="28"/>
      <c r="F150" s="28"/>
      <c r="G150" s="81">
        <f>1+G148*G128+2.513*10^-3*(L128-20)-6.5*10^-4*F141</f>
        <v>1.3277124</v>
      </c>
      <c r="H150" s="28"/>
      <c r="I150" s="28"/>
      <c r="J150" s="28"/>
      <c r="K150" s="28"/>
      <c r="L150" s="6"/>
      <c r="M150" s="7"/>
    </row>
    <row r="151" spans="1:13" ht="15.75">
      <c r="A151" s="31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6"/>
      <c r="M151" s="7"/>
    </row>
    <row r="152" spans="1:13" ht="15.75">
      <c r="A152" s="120"/>
      <c r="B152" s="80"/>
      <c r="C152" s="80"/>
      <c r="D152" s="80"/>
      <c r="E152" s="80"/>
      <c r="F152" s="80"/>
      <c r="G152" s="28"/>
      <c r="H152" s="28"/>
      <c r="I152" s="28"/>
      <c r="J152" s="28"/>
      <c r="K152" s="28"/>
      <c r="L152" s="6"/>
      <c r="M152" s="7"/>
    </row>
    <row r="153" spans="1:13" ht="15.75">
      <c r="A153" s="31"/>
      <c r="B153" s="28"/>
      <c r="C153" s="28"/>
      <c r="D153" s="28"/>
      <c r="E153" s="28"/>
      <c r="F153" s="28"/>
      <c r="G153" s="81">
        <f>(G128-D135)*(1-J130)*0.1033*E145*D133*(1-I128)*(1-D134)/(D134*D132*(1+(G150-1)*(1-I128)))</f>
        <v>3.7533683862211666</v>
      </c>
      <c r="H153" s="28" t="s">
        <v>191</v>
      </c>
      <c r="I153" s="28"/>
      <c r="J153" s="28"/>
      <c r="K153" s="28"/>
      <c r="L153" s="6"/>
      <c r="M153" s="7"/>
    </row>
    <row r="154" spans="1:13" ht="15.75">
      <c r="A154" s="133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6"/>
      <c r="M154" s="7"/>
    </row>
    <row r="155" spans="1:13" ht="15.75">
      <c r="A155" s="31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6"/>
      <c r="M155" s="7"/>
    </row>
    <row r="156" spans="1:13" ht="15.75">
      <c r="A156" s="31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6"/>
      <c r="M156" s="7"/>
    </row>
    <row r="157" spans="1:13" ht="15.75">
      <c r="A157" s="120"/>
      <c r="B157" s="80"/>
      <c r="C157" s="124" t="s">
        <v>188</v>
      </c>
      <c r="D157" s="81">
        <f>G153/4.61</f>
        <v>0.8141796933234634</v>
      </c>
      <c r="E157" s="80"/>
      <c r="F157" s="80"/>
      <c r="G157" s="80"/>
      <c r="H157" s="28"/>
      <c r="I157" s="28"/>
      <c r="J157" s="28"/>
      <c r="K157" s="28"/>
      <c r="L157" s="6"/>
      <c r="M157" s="7"/>
    </row>
    <row r="158" spans="1:13" ht="15.75">
      <c r="A158" s="31"/>
      <c r="B158" s="28"/>
      <c r="C158" s="124" t="s">
        <v>189</v>
      </c>
      <c r="D158" s="28">
        <f>D133/250</f>
        <v>1.4119999999999999</v>
      </c>
      <c r="E158" s="28"/>
      <c r="F158" s="28"/>
      <c r="G158" s="28"/>
      <c r="H158" s="28"/>
      <c r="I158" s="28"/>
      <c r="J158" s="28"/>
      <c r="K158" s="28"/>
      <c r="L158" s="6"/>
      <c r="M158" s="7"/>
    </row>
    <row r="159" spans="1:13" ht="15.75">
      <c r="A159" s="31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6"/>
      <c r="M159" s="7"/>
    </row>
    <row r="160" spans="1:13" ht="15.75">
      <c r="A160" s="31"/>
      <c r="B160" s="28"/>
      <c r="C160" s="28"/>
      <c r="D160" s="28"/>
      <c r="E160" s="81">
        <f>1+G148*G128+2.513*10^-3*(L128-20)-6.5*10^-4*G153</f>
        <v>1.3285227105489563</v>
      </c>
      <c r="F160" s="28"/>
      <c r="G160" s="28"/>
      <c r="H160" s="28"/>
      <c r="I160" s="28"/>
      <c r="J160" s="28"/>
      <c r="K160" s="28"/>
      <c r="L160" s="6"/>
      <c r="M160" s="7"/>
    </row>
    <row r="161" spans="1:13" ht="15.75">
      <c r="A161" s="31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6"/>
      <c r="M161" s="7"/>
    </row>
    <row r="162" spans="1:13" ht="15.75">
      <c r="A162" s="31"/>
      <c r="B162" s="28"/>
      <c r="C162" s="28"/>
      <c r="D162" s="28"/>
      <c r="E162" s="81">
        <f>(G128-D135)*(1-J130)*0.1033*E145*D133*(1-I128)*(1-D134)/(D134*D132*(1+(E160-1)*(1-I128)))</f>
        <v>3.7520622387725311</v>
      </c>
      <c r="F162" s="28"/>
      <c r="G162" s="28"/>
      <c r="H162" s="28"/>
      <c r="I162" s="28"/>
      <c r="J162" s="28"/>
      <c r="K162" s="28"/>
      <c r="L162" s="6"/>
      <c r="M162" s="7"/>
    </row>
    <row r="163" spans="1:13" ht="15.75">
      <c r="A163" s="31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6"/>
      <c r="M163" s="7"/>
    </row>
    <row r="164" spans="1:13" ht="15.75">
      <c r="A164" s="31"/>
      <c r="B164" s="28"/>
      <c r="C164" s="28"/>
      <c r="D164" s="28" t="s">
        <v>192</v>
      </c>
      <c r="E164" s="28">
        <v>0.87</v>
      </c>
      <c r="F164" s="28"/>
      <c r="G164" s="28"/>
      <c r="H164" s="28"/>
      <c r="I164" s="28"/>
      <c r="J164" s="28"/>
      <c r="K164" s="28"/>
      <c r="L164" s="6"/>
      <c r="M164" s="7"/>
    </row>
    <row r="165" spans="1:13" ht="15.75">
      <c r="A165" s="31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6"/>
      <c r="M165" s="7"/>
    </row>
    <row r="166" spans="1:13" ht="15.75">
      <c r="A166" s="31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6"/>
      <c r="M166" s="7"/>
    </row>
    <row r="167" spans="1:13" ht="15.75">
      <c r="A167" s="31"/>
      <c r="B167" s="28"/>
      <c r="C167" s="28" t="s">
        <v>193</v>
      </c>
      <c r="D167" s="28"/>
      <c r="E167" s="28">
        <f>(K128*(1-I128)+L132*I128)*(1-D134)+J128*D134</f>
        <v>703.02499999999998</v>
      </c>
      <c r="F167" s="28" t="s">
        <v>17</v>
      </c>
      <c r="G167" s="28"/>
      <c r="H167" s="28"/>
      <c r="I167" s="28"/>
      <c r="J167" s="28"/>
      <c r="K167" s="28"/>
      <c r="L167" s="6"/>
      <c r="M167" s="7"/>
    </row>
    <row r="168" spans="1:13" ht="15.75">
      <c r="A168" s="31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6"/>
      <c r="M168" s="7"/>
    </row>
    <row r="169" spans="1:13" ht="15.75">
      <c r="A169" s="120" t="s">
        <v>193</v>
      </c>
      <c r="B169" s="80"/>
      <c r="C169" s="80"/>
      <c r="D169" s="80"/>
      <c r="E169" s="28"/>
      <c r="F169" s="28"/>
      <c r="G169" s="28"/>
      <c r="H169" s="28"/>
      <c r="I169" s="28"/>
      <c r="J169" s="28"/>
      <c r="K169" s="28"/>
      <c r="L169" s="6"/>
      <c r="M169" s="7"/>
    </row>
    <row r="170" spans="1:13" ht="15.75">
      <c r="A170" s="31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6"/>
      <c r="M170" s="7"/>
    </row>
    <row r="171" spans="1:13" ht="15.75">
      <c r="A171" s="31"/>
      <c r="B171" s="89"/>
      <c r="C171" s="28"/>
      <c r="D171" s="28"/>
      <c r="E171" s="81">
        <f>(E162-H128)*10^6/(E167*9.81)</f>
        <v>500.5400593238794</v>
      </c>
      <c r="F171" s="28" t="s">
        <v>20</v>
      </c>
      <c r="G171" s="28"/>
      <c r="H171" s="28"/>
      <c r="I171" s="28"/>
      <c r="J171" s="28"/>
      <c r="K171" s="28"/>
      <c r="L171" s="6"/>
      <c r="M171" s="7"/>
    </row>
    <row r="172" spans="1:13" ht="15.75">
      <c r="A172" s="31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6"/>
      <c r="M172" s="7"/>
    </row>
    <row r="173" spans="1:13" ht="15.75">
      <c r="A173" s="120"/>
      <c r="B173" s="80"/>
      <c r="C173" s="80"/>
      <c r="D173" s="80"/>
      <c r="E173" s="80"/>
      <c r="F173" s="80"/>
      <c r="G173" s="80"/>
      <c r="H173" s="28"/>
      <c r="I173" s="28"/>
      <c r="J173" s="28"/>
      <c r="K173" s="28"/>
      <c r="L173" s="6"/>
      <c r="M173" s="7"/>
    </row>
    <row r="174" spans="1:13" ht="15.75">
      <c r="A174" s="31"/>
      <c r="B174" s="28"/>
      <c r="C174" s="28"/>
      <c r="D174" s="28"/>
      <c r="E174" s="81">
        <f>D128+E171</f>
        <v>1500.5400593238794</v>
      </c>
      <c r="F174" s="28" t="str">
        <f>F171</f>
        <v>м</v>
      </c>
      <c r="G174" s="28"/>
      <c r="H174" s="28"/>
      <c r="I174" s="28"/>
      <c r="J174" s="28"/>
      <c r="K174" s="28"/>
      <c r="L174" s="6"/>
      <c r="M174" s="7"/>
    </row>
    <row r="175" spans="1:13" ht="15.75">
      <c r="A175" s="31"/>
      <c r="B175" s="89"/>
      <c r="C175" s="28"/>
      <c r="D175" s="28"/>
      <c r="E175" s="28"/>
      <c r="F175" s="28"/>
      <c r="G175" s="28"/>
      <c r="H175" s="28"/>
      <c r="I175" s="28"/>
      <c r="J175" s="28"/>
      <c r="K175" s="28"/>
      <c r="L175" s="6"/>
      <c r="M175" s="7"/>
    </row>
    <row r="176" spans="1:13" ht="15.75">
      <c r="A176" s="31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6"/>
      <c r="M176" s="7"/>
    </row>
    <row r="177" spans="1:18" ht="15.75">
      <c r="A177" s="31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6"/>
      <c r="M177" s="7"/>
    </row>
    <row r="178" spans="1:18" ht="15.75">
      <c r="A178" s="120"/>
      <c r="B178" s="80"/>
      <c r="C178" s="80"/>
      <c r="D178" s="28"/>
      <c r="E178" s="81">
        <f>1/(K128*9.81)*(G128-D135)*(1-I128)*101325*0.65*LN((11000000+101325)/(200000+101325))</f>
        <v>468.92883847037524</v>
      </c>
      <c r="F178" s="28" t="s">
        <v>20</v>
      </c>
      <c r="G178" s="28"/>
      <c r="H178" s="28"/>
      <c r="I178" s="28"/>
      <c r="J178" s="28"/>
      <c r="K178" s="28"/>
      <c r="L178" s="6"/>
      <c r="M178" s="7"/>
    </row>
    <row r="179" spans="1:18" ht="15.75">
      <c r="A179" s="31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6"/>
      <c r="M179" s="7"/>
    </row>
    <row r="180" spans="1:18" ht="15.75">
      <c r="A180" s="120"/>
      <c r="B180" s="80"/>
      <c r="C180" s="80"/>
      <c r="D180" s="80"/>
      <c r="E180" s="81">
        <f>1.575*((L130-2*L131)/10)*G128*(1-(0.2/11)^(1/3))*(1-I128)</f>
        <v>185.73569546290176</v>
      </c>
      <c r="F180" s="28" t="s">
        <v>20</v>
      </c>
      <c r="G180" s="80"/>
      <c r="H180" s="80"/>
      <c r="I180" s="28"/>
      <c r="J180" s="28"/>
      <c r="K180" s="28"/>
      <c r="L180" s="6"/>
      <c r="M180" s="7"/>
    </row>
    <row r="181" spans="1:18" ht="15.75">
      <c r="A181" s="31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6"/>
      <c r="M181" s="7"/>
    </row>
    <row r="182" spans="1:18" ht="15.75">
      <c r="A182" s="133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6"/>
      <c r="M182" s="7"/>
    </row>
    <row r="183" spans="1:18" ht="15.75">
      <c r="A183" s="31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6"/>
      <c r="M183" s="7"/>
    </row>
    <row r="184" spans="1:18" ht="15.75">
      <c r="A184" s="31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6"/>
      <c r="M184" s="7"/>
    </row>
    <row r="185" spans="1:18" ht="15.75">
      <c r="A185" s="133"/>
      <c r="B185" s="28"/>
      <c r="C185" s="28"/>
      <c r="D185" s="124" t="s">
        <v>194</v>
      </c>
      <c r="E185" s="81">
        <f>F128-E180</f>
        <v>1398.0243045370983</v>
      </c>
      <c r="F185" s="28" t="str">
        <f>F180</f>
        <v>м</v>
      </c>
      <c r="G185" s="28"/>
      <c r="H185" s="28"/>
      <c r="I185" s="28"/>
      <c r="J185" s="28"/>
      <c r="K185" s="28"/>
      <c r="L185" s="6"/>
      <c r="M185" s="7"/>
    </row>
    <row r="186" spans="1:18" ht="15.75">
      <c r="A186" s="31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6"/>
      <c r="M186" s="7"/>
    </row>
    <row r="187" spans="1:18" ht="15.75">
      <c r="A187" s="31">
        <v>0.7</v>
      </c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6"/>
      <c r="M187" s="7"/>
    </row>
    <row r="188" spans="1:18" ht="15.75">
      <c r="A188" s="120"/>
      <c r="B188" s="80"/>
      <c r="C188" s="80"/>
      <c r="D188" s="124" t="s">
        <v>194</v>
      </c>
      <c r="E188" s="81">
        <f>F128-E180*A187</f>
        <v>1453.7450131759688</v>
      </c>
      <c r="F188" s="28" t="str">
        <f>F185</f>
        <v>м</v>
      </c>
      <c r="G188" s="80"/>
      <c r="H188" s="80"/>
      <c r="I188" s="28"/>
      <c r="J188" s="28"/>
      <c r="K188" s="28"/>
      <c r="L188" s="6"/>
      <c r="M188" s="7"/>
    </row>
    <row r="189" spans="1:18" ht="16.5" thickBot="1">
      <c r="A189" s="74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9"/>
      <c r="M189" s="10"/>
    </row>
    <row r="190" spans="1:18" ht="16.5" thickBot="1">
      <c r="A190" s="180" t="s">
        <v>220</v>
      </c>
      <c r="B190" s="180"/>
      <c r="C190" s="180"/>
      <c r="D190" s="180"/>
      <c r="E190" s="180"/>
      <c r="F190" s="180"/>
      <c r="G190" s="180"/>
      <c r="H190" s="180"/>
      <c r="I190" s="180"/>
      <c r="J190" s="180"/>
      <c r="K190" s="5"/>
      <c r="L190" s="5"/>
      <c r="M190" s="5"/>
      <c r="N190" s="5"/>
      <c r="O190" s="5"/>
      <c r="P190" s="5"/>
      <c r="Q190" s="5"/>
      <c r="R190" s="5"/>
    </row>
    <row r="191" spans="1:18" ht="95.25" thickBot="1">
      <c r="A191" s="33" t="s">
        <v>114</v>
      </c>
      <c r="B191" s="33" t="s">
        <v>196</v>
      </c>
      <c r="C191" s="33" t="s">
        <v>197</v>
      </c>
      <c r="D191" s="33" t="s">
        <v>198</v>
      </c>
      <c r="E191" s="33" t="s">
        <v>169</v>
      </c>
      <c r="F191" s="33" t="s">
        <v>170</v>
      </c>
      <c r="G191" s="33" t="s">
        <v>199</v>
      </c>
      <c r="H191" s="33" t="s">
        <v>200</v>
      </c>
      <c r="I191" s="33" t="s">
        <v>201</v>
      </c>
      <c r="J191" s="33" t="s">
        <v>202</v>
      </c>
      <c r="K191" s="5"/>
      <c r="L191" s="5"/>
      <c r="M191" s="5"/>
      <c r="N191" s="5"/>
      <c r="O191" s="5"/>
      <c r="P191" s="5"/>
      <c r="Q191" s="5"/>
      <c r="R191" s="5"/>
    </row>
    <row r="192" spans="1:18" ht="48" thickBot="1">
      <c r="A192" s="33">
        <v>146</v>
      </c>
      <c r="B192" s="33">
        <v>89</v>
      </c>
      <c r="C192" s="33">
        <f>IF(B192=48,4,IF(B192=73,5.5,6.5))</f>
        <v>6.5</v>
      </c>
      <c r="D192" s="106">
        <v>200</v>
      </c>
      <c r="E192" s="33">
        <v>1200</v>
      </c>
      <c r="F192" s="33" t="s">
        <v>203</v>
      </c>
      <c r="G192" s="18" t="s">
        <v>159</v>
      </c>
      <c r="H192" s="33">
        <v>1350</v>
      </c>
      <c r="I192" s="33">
        <v>70</v>
      </c>
      <c r="J192" s="33">
        <v>100</v>
      </c>
      <c r="K192" s="5"/>
      <c r="L192" s="5"/>
      <c r="M192" s="5"/>
      <c r="N192" s="34">
        <v>9</v>
      </c>
      <c r="O192" s="5" t="s">
        <v>39</v>
      </c>
      <c r="P192" s="5"/>
      <c r="Q192" s="16">
        <v>92</v>
      </c>
      <c r="R192" s="35">
        <v>45</v>
      </c>
    </row>
    <row r="193" spans="1:18" ht="15.75">
      <c r="A193" s="5"/>
      <c r="B193" s="14"/>
      <c r="C193" s="14"/>
      <c r="D193" s="14"/>
      <c r="E193" s="14"/>
      <c r="F193" s="5"/>
      <c r="G193" s="5"/>
      <c r="H193" s="14"/>
      <c r="I193" s="14"/>
      <c r="J193" s="5"/>
      <c r="K193" s="5"/>
      <c r="L193" s="5"/>
      <c r="M193" s="5"/>
      <c r="N193" s="35">
        <f>A192-2*N192</f>
        <v>128</v>
      </c>
      <c r="O193" s="5" t="s">
        <v>39</v>
      </c>
      <c r="P193" s="5"/>
      <c r="Q193" s="35">
        <v>125</v>
      </c>
      <c r="R193" s="35">
        <v>103</v>
      </c>
    </row>
    <row r="194" spans="1:18" ht="15.7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1:18" ht="15.75">
      <c r="A195" s="5"/>
      <c r="B195" s="36"/>
      <c r="C195" s="36"/>
      <c r="D195" s="36"/>
      <c r="E195" s="36"/>
      <c r="F195" s="36"/>
      <c r="G195" s="36"/>
      <c r="H195" s="5"/>
      <c r="I195" s="5"/>
      <c r="J195" s="5"/>
      <c r="K195" s="5"/>
      <c r="L195" s="5"/>
      <c r="M195" s="5"/>
      <c r="N195" s="5"/>
      <c r="O195" s="37">
        <f>ACOS(D198)</f>
        <v>0.55481103298007151</v>
      </c>
      <c r="P195" s="5" t="s">
        <v>204</v>
      </c>
      <c r="Q195" s="5"/>
      <c r="R195" s="5"/>
    </row>
    <row r="196" spans="1:18" ht="16.5" thickBo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37">
        <f>SIN(O195)</f>
        <v>0.52678268764263692</v>
      </c>
      <c r="P196" s="5" t="s">
        <v>205</v>
      </c>
      <c r="Q196" s="5"/>
      <c r="R196" s="5"/>
    </row>
    <row r="197" spans="1:18" ht="95.25" thickBot="1">
      <c r="A197" s="33" t="s">
        <v>206</v>
      </c>
      <c r="B197" s="33" t="s">
        <v>207</v>
      </c>
      <c r="C197" s="33" t="s">
        <v>208</v>
      </c>
      <c r="D197" s="33" t="s">
        <v>209</v>
      </c>
      <c r="E197" s="33" t="s">
        <v>210</v>
      </c>
      <c r="F197" s="33" t="s">
        <v>211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1:18" ht="16.5" thickBot="1">
      <c r="A198" s="19">
        <v>915</v>
      </c>
      <c r="B198" s="19">
        <v>73.5</v>
      </c>
      <c r="C198" s="19">
        <v>76</v>
      </c>
      <c r="D198" s="19">
        <v>0.85</v>
      </c>
      <c r="E198" s="19">
        <v>55</v>
      </c>
      <c r="F198" s="19">
        <v>0.3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1:18" ht="15.7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</row>
    <row r="200" spans="1:18" ht="15.7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</row>
    <row r="201" spans="1:18" ht="15.75">
      <c r="A201" s="38"/>
      <c r="B201" s="38"/>
      <c r="C201" s="38"/>
      <c r="D201" s="38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18" ht="15.75">
      <c r="A202" s="5"/>
      <c r="B202" s="5">
        <f>B198/5</f>
        <v>14.7</v>
      </c>
      <c r="C202" s="5" t="s">
        <v>212</v>
      </c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</row>
    <row r="203" spans="1:18" ht="15.7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</row>
    <row r="204" spans="1:18" ht="15.75">
      <c r="A204" s="36"/>
      <c r="B204" s="36"/>
      <c r="C204" s="36"/>
      <c r="D204" s="36"/>
      <c r="E204" s="36"/>
      <c r="F204" s="36"/>
      <c r="G204" s="36"/>
      <c r="H204" s="179" t="s">
        <v>213</v>
      </c>
      <c r="I204" s="179"/>
      <c r="J204" s="35">
        <v>13.6</v>
      </c>
      <c r="K204" s="32" t="s">
        <v>39</v>
      </c>
      <c r="L204" s="5"/>
      <c r="M204" s="5"/>
      <c r="N204" s="5"/>
      <c r="O204" s="5"/>
      <c r="P204" s="5"/>
      <c r="Q204" s="5"/>
      <c r="R204" s="5"/>
    </row>
    <row r="205" spans="1:18" ht="15.75">
      <c r="A205" s="36"/>
      <c r="B205" s="36"/>
      <c r="C205" s="36"/>
      <c r="D205" s="36"/>
      <c r="E205" s="36"/>
      <c r="F205" s="36"/>
      <c r="G205" s="36"/>
      <c r="H205" s="179" t="s">
        <v>214</v>
      </c>
      <c r="I205" s="179"/>
      <c r="J205" s="39">
        <v>29</v>
      </c>
      <c r="K205" s="32" t="s">
        <v>39</v>
      </c>
      <c r="L205" s="5"/>
      <c r="M205" s="5"/>
      <c r="N205" s="5"/>
      <c r="O205" s="5"/>
      <c r="P205" s="5"/>
      <c r="Q205" s="5"/>
      <c r="R205" s="5"/>
    </row>
    <row r="206" spans="1:18" ht="15.7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5"/>
      <c r="L206" s="5"/>
      <c r="M206" s="5"/>
      <c r="N206" s="5"/>
      <c r="O206" s="5"/>
      <c r="P206" s="5"/>
      <c r="Q206" s="5"/>
      <c r="R206" s="5"/>
    </row>
    <row r="207" spans="1:18" ht="15.75">
      <c r="A207" s="180" t="s">
        <v>215</v>
      </c>
      <c r="B207" s="180"/>
      <c r="C207" s="32">
        <f>IF(B202&lt;6,6,IF(B202&lt;10,10,IF(B202&lt;16,16,IF(B202&lt;25,25,IF(B202&lt;35,35,50)))))</f>
        <v>16</v>
      </c>
      <c r="D207" s="32" t="str">
        <f>C202</f>
        <v>мм2</v>
      </c>
      <c r="E207" s="5"/>
      <c r="F207" s="5"/>
      <c r="G207" s="5"/>
      <c r="H207" s="5"/>
      <c r="I207" s="32"/>
      <c r="J207" s="32"/>
      <c r="K207" s="5"/>
      <c r="L207" s="5"/>
      <c r="M207" s="5"/>
      <c r="N207" s="5"/>
      <c r="O207" s="5"/>
      <c r="P207" s="5"/>
      <c r="Q207" s="5"/>
      <c r="R207" s="5"/>
    </row>
    <row r="208" spans="1:18" ht="15.7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</row>
    <row r="209" spans="1:18" ht="15.75">
      <c r="A209" s="40"/>
      <c r="B209" s="5">
        <f>H192+J192+J192</f>
        <v>1550</v>
      </c>
      <c r="C209" s="5" t="s">
        <v>20</v>
      </c>
      <c r="D209" s="40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</row>
    <row r="210" spans="1:18" ht="15.7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</row>
    <row r="211" spans="1:18" ht="15.7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</row>
    <row r="212" spans="1:18" ht="15.75">
      <c r="A212" s="5"/>
      <c r="B212" s="5"/>
      <c r="C212" s="5">
        <f>0.0175*(1+0.004*(I192-20))/C207</f>
        <v>1.3125000000000001E-3</v>
      </c>
      <c r="D212" s="5" t="s">
        <v>216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</row>
    <row r="213" spans="1:18" ht="15.75">
      <c r="A213" s="40"/>
      <c r="B213" s="40"/>
      <c r="C213" s="40"/>
      <c r="D213" s="40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</row>
    <row r="214" spans="1:18" ht="15.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</row>
    <row r="215" spans="1:18" ht="15.75">
      <c r="A215" s="5"/>
      <c r="B215" s="5"/>
      <c r="C215" s="41">
        <f>3*B198^2*C212*B209/1000</f>
        <v>32.970607031250005</v>
      </c>
      <c r="D215" s="5" t="s">
        <v>134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</row>
    <row r="216" spans="1:18" ht="15.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</row>
    <row r="217" spans="1:18" ht="15.75">
      <c r="A217" s="38"/>
      <c r="B217" s="38"/>
      <c r="C217" s="38"/>
      <c r="D217" s="38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</row>
    <row r="218" spans="1:18" ht="15.75">
      <c r="A218" s="5"/>
      <c r="B218" s="5"/>
      <c r="C218" s="41">
        <f>R192/(C198/100)+C215</f>
        <v>92.181133347039477</v>
      </c>
      <c r="D218" s="5" t="str">
        <f>D215</f>
        <v>кВт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</row>
    <row r="219" spans="1:18" ht="15.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</row>
    <row r="220" spans="1:18" ht="15.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</row>
    <row r="221" spans="1:18" ht="15.75">
      <c r="A221" s="36"/>
      <c r="B221" s="36"/>
      <c r="C221" s="36"/>
      <c r="D221" s="3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</row>
    <row r="222" spans="1:18" ht="15.75">
      <c r="A222" s="5"/>
      <c r="B222" s="5"/>
      <c r="C222" s="5"/>
      <c r="D222" s="41">
        <f>SQRT(3)*(C212*1000*D198+0.1*O196)*B198*B209/1000</f>
        <v>230.53414365041806</v>
      </c>
      <c r="E222" s="5" t="s">
        <v>217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</row>
    <row r="223" spans="1:18" ht="15.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</row>
    <row r="224" spans="1:18" ht="15.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</row>
    <row r="225" spans="1:18" ht="15.75">
      <c r="A225" s="36"/>
      <c r="B225" s="36"/>
      <c r="C225" s="41">
        <f>A198+D222</f>
        <v>1145.5341436504182</v>
      </c>
      <c r="D225" s="5" t="str">
        <f>E222</f>
        <v>В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</row>
    <row r="226" spans="1:18" ht="15.7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</row>
    <row r="227" spans="1:18" ht="15.7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</row>
    <row r="228" spans="1:18" ht="15.7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</row>
    <row r="229" spans="1:18" ht="15.75">
      <c r="A229" s="38"/>
      <c r="B229" s="38"/>
      <c r="C229" s="38"/>
      <c r="D229" s="38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</row>
    <row r="230" spans="1:18" ht="15.75">
      <c r="A230" s="5"/>
      <c r="B230" s="5"/>
      <c r="C230" s="5">
        <f>R193/2+Q192/2+J204+1</f>
        <v>112.1</v>
      </c>
      <c r="D230" s="5" t="str">
        <f>K204</f>
        <v>мм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</row>
    <row r="231" spans="1:18" ht="15.7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</row>
    <row r="232" spans="1:18" ht="15.7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</row>
    <row r="233" spans="1:18" ht="15.7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5"/>
      <c r="L233" s="5"/>
      <c r="M233" s="5"/>
      <c r="N233" s="5"/>
      <c r="O233" s="5"/>
      <c r="P233" s="5"/>
      <c r="Q233" s="5"/>
      <c r="R233" s="5"/>
    </row>
    <row r="234" spans="1:18" ht="15.75">
      <c r="A234" s="40"/>
      <c r="B234" s="40"/>
      <c r="C234" s="5">
        <f>R193/2+(B192+2*C192)/2+J205</f>
        <v>131.5</v>
      </c>
      <c r="D234" s="5" t="str">
        <f>D230</f>
        <v>мм</v>
      </c>
      <c r="E234" s="40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</row>
    <row r="235" spans="1:18" ht="15.7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</row>
    <row r="236" spans="1:18" ht="15.7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</row>
    <row r="237" spans="1:18" ht="15.7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</row>
    <row r="238" spans="1:18" ht="15.75">
      <c r="A238" s="40"/>
      <c r="B238" s="40"/>
      <c r="C238" s="40"/>
      <c r="D238" s="40"/>
      <c r="E238" s="40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</row>
    <row r="239" spans="1:18" ht="15.75">
      <c r="A239" s="5"/>
      <c r="B239" s="5"/>
      <c r="C239" s="5">
        <f>R193/2+56/2+J205</f>
        <v>108.5</v>
      </c>
      <c r="D239" s="5" t="str">
        <f>D230</f>
        <v>мм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</row>
    <row r="240" spans="1:18" ht="15.7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</row>
    <row r="241" spans="1:18" ht="15.7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</row>
    <row r="242" spans="1:18" ht="15.75">
      <c r="A242" s="38"/>
      <c r="B242" s="38"/>
      <c r="C242" s="38"/>
      <c r="D242" s="38"/>
      <c r="E242" s="38"/>
      <c r="F242" s="3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</row>
    <row r="243" spans="1:18" ht="15.75">
      <c r="A243" s="40"/>
      <c r="B243" s="40"/>
      <c r="C243" s="41">
        <f>D192/(86400*PI()/4*((N193/1000)^2-(R193/1000)^2))</f>
        <v>0.51035736120537212</v>
      </c>
      <c r="D243" s="5" t="s">
        <v>218</v>
      </c>
      <c r="E243" s="40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</row>
    <row r="244" spans="1:18" ht="15.7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</row>
    <row r="245" spans="1:18" ht="15.7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</row>
    <row r="246" spans="1:18" ht="15.7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</row>
    <row r="247" spans="1:18" ht="15.75">
      <c r="A247" s="38"/>
      <c r="B247" s="38"/>
      <c r="C247" s="38"/>
      <c r="D247" s="38"/>
      <c r="E247" s="38"/>
      <c r="F247" s="38"/>
      <c r="G247" s="38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</row>
    <row r="248" spans="1:18" ht="15.7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</row>
    <row r="249" spans="1:18" ht="15.7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</row>
    <row r="250" spans="1:18" ht="15.7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</row>
    <row r="251" spans="1:18" ht="15.75">
      <c r="A251" s="38"/>
      <c r="B251" s="5"/>
      <c r="C251" s="41">
        <f>R192/(R192+C215)</f>
        <v>0.57714056249381707</v>
      </c>
      <c r="D251" s="38"/>
      <c r="E251" s="38"/>
      <c r="F251" s="38"/>
      <c r="G251" s="38"/>
      <c r="H251" s="38"/>
      <c r="I251" s="38"/>
      <c r="J251" s="38"/>
      <c r="K251" s="5"/>
      <c r="L251" s="5"/>
      <c r="M251" s="5"/>
      <c r="N251" s="5"/>
      <c r="O251" s="5"/>
      <c r="P251" s="5"/>
      <c r="Q251" s="5"/>
      <c r="R251" s="5"/>
    </row>
    <row r="252" spans="1:18" ht="15.7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</row>
    <row r="253" spans="1:18" ht="15.75">
      <c r="A253" s="38"/>
      <c r="B253" s="38"/>
      <c r="C253" s="41">
        <f>2.73*E192/(1000*0.94*0.57*0.72*0.96*C251)</f>
        <v>15.32695406972732</v>
      </c>
      <c r="D253" s="5" t="s">
        <v>219</v>
      </c>
      <c r="E253" s="3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</row>
    <row r="254" spans="1:18" ht="15.7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</row>
    <row r="255" spans="1:18" ht="15.7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</row>
    <row r="256" spans="1:18" ht="15.7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</row>
  </sheetData>
  <mergeCells count="6">
    <mergeCell ref="H204:I204"/>
    <mergeCell ref="H205:I205"/>
    <mergeCell ref="A207:B207"/>
    <mergeCell ref="F134:G134"/>
    <mergeCell ref="A145:D145"/>
    <mergeCell ref="A190:J190"/>
  </mergeCells>
  <pageMargins left="0.7" right="0.7" top="0.75" bottom="0.75" header="0.3" footer="0.3"/>
  <drawing r:id="rId1"/>
  <legacyDrawing r:id="rId2"/>
  <oleObjects>
    <oleObject progId="Equation.DSMT4" shapeId="6145" r:id="rId3"/>
    <oleObject progId="Equation.DSMT4" shapeId="6146" r:id="rId4"/>
    <oleObject progId="Equation.DSMT4" shapeId="6147" r:id="rId5"/>
    <oleObject progId="Equation.DSMT4" shapeId="6148" r:id="rId6"/>
    <oleObject progId="Equation.DSMT4" shapeId="6149" r:id="rId7"/>
    <oleObject progId="Equation.DSMT4" shapeId="6150" r:id="rId8"/>
    <oleObject progId="Equation.DSMT4" shapeId="6151" r:id="rId9"/>
    <oleObject progId="Equation.DSMT4" shapeId="6152" r:id="rId10"/>
    <oleObject progId="Equation.DSMT4" shapeId="6153" r:id="rId11"/>
    <oleObject progId="Equation.DSMT4" shapeId="6154" r:id="rId12"/>
    <oleObject progId="Equation.DSMT4" shapeId="6155" r:id="rId13"/>
    <oleObject progId="Equation.DSMT4" shapeId="6156" r:id="rId14"/>
    <oleObject progId="Equation.DSMT4" shapeId="6157" r:id="rId15"/>
    <oleObject progId="Equation.DSMT4" shapeId="6158" r:id="rId16"/>
    <oleObject progId="Equation.3" shapeId="6159" r:id="rId17"/>
    <oleObject progId="Equation.DSMT4" shapeId="6160" r:id="rId18"/>
    <oleObject progId="Equation.DSMT4" shapeId="6161" r:id="rId19"/>
    <oleObject progId="Equation.DSMT4" shapeId="6162" r:id="rId20"/>
    <oleObject progId="Equation.DSMT4" shapeId="6163" r:id="rId21"/>
    <oleObject progId="Equation.DSMT4" shapeId="6164" r:id="rId22"/>
    <oleObject progId="Equation.DSMT4" shapeId="6165" r:id="rId23"/>
    <oleObject progId="Equation.DSMT4" shapeId="6166" r:id="rId24"/>
    <oleObject progId="Equation.DSMT4" shapeId="6167" r:id="rId25"/>
    <oleObject progId="Equation.DSMT4" shapeId="6168" r:id="rId26"/>
    <oleObject progId="Equation.DSMT4" shapeId="6169" r:id="rId27"/>
    <oleObject progId="Equation.DSMT4" shapeId="6170" r:id="rId28"/>
    <oleObject progId="Equation.DSMT4" shapeId="6171" r:id="rId29"/>
    <oleObject progId="Equation.DSMT4" shapeId="6172" r:id="rId30"/>
    <oleObject progId="Equation.DSMT4" shapeId="6173" r:id="rId31"/>
    <oleObject progId="Equation.DSMT4" shapeId="6174" r:id="rId32"/>
    <oleObject progId="Equation.DSMT4" shapeId="6175" r:id="rId33"/>
    <oleObject progId="Equation.DSMT4" shapeId="6176" r:id="rId34"/>
    <oleObject progId="Equation.DSMT4" shapeId="6177" r:id="rId35"/>
    <oleObject progId="Equation.DSMT4" shapeId="6178" r:id="rId36"/>
    <oleObject progId="Equation.DSMT4" shapeId="6179" r:id="rId37"/>
    <oleObject progId="Equation.DSMT4" shapeId="6180" r:id="rId38"/>
    <oleObject progId="Equation.DSMT4" shapeId="6181" r:id="rId39"/>
    <oleObject progId="Equation.DSMT4" shapeId="6182" r:id="rId40"/>
    <oleObject progId="Equation.DSMT4" shapeId="6183" r:id="rId41"/>
    <oleObject progId="Equation.DSMT4" shapeId="6184" r:id="rId42"/>
    <oleObject progId="Equation.DSMT4" shapeId="6185" r:id="rId43"/>
    <oleObject progId="Equation.DSMT4" shapeId="6186" r:id="rId44"/>
    <oleObject progId="Equation.DSMT4" shapeId="6187" r:id="rId4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ШГН(14,15,16,17,18,19,20,21,22)</vt:lpstr>
      <vt:lpstr>УЭЦН(24,25,26,27)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2012-05-26T04:24:59Z</dcterms:modified>
</cp:coreProperties>
</file>